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\mee\Сетевая\моя\6 квартал\ЖК2 Дом2\Комплектовки\отделка МОП\"/>
    </mc:Choice>
  </mc:AlternateContent>
  <xr:revisionPtr revIDLastSave="0" documentId="13_ncr:1_{94FD02EF-E39D-43E8-8C0A-BC458F6774E6}" xr6:coauthVersionLast="47" xr6:coauthVersionMax="47" xr10:uidLastSave="{00000000-0000-0000-0000-000000000000}"/>
  <bookViews>
    <workbookView xWindow="-120" yWindow="-120" windowWidth="29040" windowHeight="15720" xr2:uid="{82BFAD0D-2F1A-45D8-AFB5-72BEB2FD5D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K52" i="1" s="1"/>
  <c r="K50" i="1"/>
  <c r="F51" i="1"/>
  <c r="F52" i="1" s="1"/>
  <c r="F50" i="1"/>
  <c r="M50" i="1"/>
  <c r="L50" i="1"/>
  <c r="J50" i="1"/>
  <c r="I50" i="1"/>
  <c r="H50" i="1"/>
  <c r="G50" i="1"/>
  <c r="E50" i="1"/>
  <c r="M65" i="1"/>
  <c r="L65" i="1"/>
  <c r="J65" i="1"/>
  <c r="H65" i="1"/>
  <c r="G65" i="1"/>
  <c r="E65" i="1"/>
  <c r="K66" i="1"/>
  <c r="H66" i="1"/>
  <c r="F66" i="1"/>
  <c r="D67" i="1"/>
  <c r="M64" i="1"/>
  <c r="L64" i="1"/>
  <c r="J64" i="1"/>
  <c r="H64" i="1"/>
  <c r="G64" i="1"/>
  <c r="M33" i="1"/>
  <c r="L33" i="1"/>
  <c r="K33" i="1"/>
  <c r="J33" i="1"/>
  <c r="I33" i="1"/>
  <c r="H33" i="1"/>
  <c r="G33" i="1"/>
  <c r="F33" i="1"/>
  <c r="E33" i="1"/>
  <c r="G52" i="1"/>
  <c r="H52" i="1"/>
  <c r="M51" i="1"/>
  <c r="M52" i="1" s="1"/>
  <c r="L51" i="1"/>
  <c r="L52" i="1" s="1"/>
  <c r="J51" i="1"/>
  <c r="J52" i="1" s="1"/>
  <c r="I51" i="1"/>
  <c r="I52" i="1" s="1"/>
  <c r="H51" i="1"/>
  <c r="G51" i="1"/>
  <c r="E51" i="1"/>
  <c r="E52" i="1" s="1"/>
  <c r="F64" i="1"/>
  <c r="E64" i="1"/>
  <c r="D65" i="1" l="1"/>
  <c r="K59" i="1" l="1"/>
  <c r="I59" i="1"/>
  <c r="M54" i="1"/>
  <c r="L54" i="1"/>
  <c r="I54" i="1"/>
  <c r="K54" i="1"/>
  <c r="J54" i="1"/>
  <c r="H54" i="1"/>
  <c r="G54" i="1"/>
  <c r="F54" i="1"/>
  <c r="E54" i="1"/>
  <c r="F35" i="1"/>
  <c r="G35" i="1"/>
  <c r="H35" i="1"/>
  <c r="I35" i="1"/>
  <c r="J35" i="1"/>
  <c r="K35" i="1"/>
  <c r="M34" i="1"/>
  <c r="M35" i="1" s="1"/>
  <c r="L34" i="1"/>
  <c r="L35" i="1" s="1"/>
  <c r="K34" i="1"/>
  <c r="J34" i="1"/>
  <c r="I34" i="1"/>
  <c r="H34" i="1"/>
  <c r="G34" i="1"/>
  <c r="F34" i="1"/>
  <c r="E34" i="1"/>
  <c r="E35" i="1" s="1"/>
  <c r="M47" i="1"/>
  <c r="M41" i="1"/>
  <c r="L47" i="1"/>
  <c r="L41" i="1"/>
  <c r="K47" i="1"/>
  <c r="K45" i="1"/>
  <c r="F23" i="1"/>
  <c r="K23" i="1"/>
  <c r="K21" i="1"/>
  <c r="F21" i="1"/>
  <c r="K41" i="1" l="1"/>
  <c r="K43" i="1" s="1"/>
  <c r="I41" i="1"/>
  <c r="I42" i="1" s="1"/>
  <c r="J47" i="1"/>
  <c r="J48" i="1" s="1"/>
  <c r="J41" i="1"/>
  <c r="J43" i="1" s="1"/>
  <c r="I47" i="1"/>
  <c r="I48" i="1" s="1"/>
  <c r="I45" i="1"/>
  <c r="H47" i="1"/>
  <c r="H48" i="1" s="1"/>
  <c r="H41" i="1"/>
  <c r="H43" i="1" s="1"/>
  <c r="G47" i="1"/>
  <c r="G48" i="1" s="1"/>
  <c r="G41" i="1"/>
  <c r="G42" i="1" s="1"/>
  <c r="F56" i="1"/>
  <c r="F57" i="1" s="1"/>
  <c r="G56" i="1"/>
  <c r="G57" i="1" s="1"/>
  <c r="H56" i="1"/>
  <c r="H57" i="1" s="1"/>
  <c r="I56" i="1"/>
  <c r="I57" i="1" s="1"/>
  <c r="J56" i="1"/>
  <c r="J57" i="1" s="1"/>
  <c r="K56" i="1"/>
  <c r="K57" i="1" s="1"/>
  <c r="L56" i="1"/>
  <c r="L57" i="1" s="1"/>
  <c r="M56" i="1"/>
  <c r="M57" i="1" s="1"/>
  <c r="E56" i="1"/>
  <c r="E57" i="1" s="1"/>
  <c r="F47" i="1"/>
  <c r="F48" i="1" s="1"/>
  <c r="F41" i="1"/>
  <c r="F43" i="1" s="1"/>
  <c r="E45" i="1"/>
  <c r="G45" i="1"/>
  <c r="H45" i="1"/>
  <c r="J45" i="1"/>
  <c r="L45" i="1"/>
  <c r="M45" i="1"/>
  <c r="F45" i="1"/>
  <c r="D44" i="1"/>
  <c r="E47" i="1"/>
  <c r="E48" i="1" s="1"/>
  <c r="E41" i="1"/>
  <c r="E42" i="1" s="1"/>
  <c r="F60" i="1"/>
  <c r="G60" i="1"/>
  <c r="H60" i="1"/>
  <c r="I60" i="1"/>
  <c r="J60" i="1"/>
  <c r="K60" i="1"/>
  <c r="L60" i="1"/>
  <c r="M60" i="1"/>
  <c r="F61" i="1"/>
  <c r="G61" i="1"/>
  <c r="H61" i="1"/>
  <c r="I61" i="1"/>
  <c r="J61" i="1"/>
  <c r="K61" i="1"/>
  <c r="L61" i="1"/>
  <c r="M61" i="1"/>
  <c r="E61" i="1"/>
  <c r="E60" i="1"/>
  <c r="K48" i="1"/>
  <c r="L48" i="1"/>
  <c r="M48" i="1"/>
  <c r="L42" i="1"/>
  <c r="L43" i="1"/>
  <c r="M37" i="1"/>
  <c r="M38" i="1" s="1"/>
  <c r="L37" i="1"/>
  <c r="L38" i="1" s="1"/>
  <c r="K37" i="1"/>
  <c r="K38" i="1" s="1"/>
  <c r="K26" i="1"/>
  <c r="K25" i="1"/>
  <c r="J37" i="1"/>
  <c r="J38" i="1" s="1"/>
  <c r="I37" i="1"/>
  <c r="I38" i="1" s="1"/>
  <c r="I26" i="1"/>
  <c r="I25" i="1"/>
  <c r="F37" i="1"/>
  <c r="F38" i="1" s="1"/>
  <c r="F26" i="1"/>
  <c r="F25" i="1"/>
  <c r="H37" i="1"/>
  <c r="H38" i="1" s="1"/>
  <c r="E37" i="1"/>
  <c r="E38" i="1" s="1"/>
  <c r="G37" i="1"/>
  <c r="G38" i="1" s="1"/>
  <c r="M26" i="1"/>
  <c r="L26" i="1"/>
  <c r="M25" i="1"/>
  <c r="L25" i="1"/>
  <c r="J26" i="1"/>
  <c r="J25" i="1"/>
  <c r="H26" i="1"/>
  <c r="G26" i="1"/>
  <c r="H25" i="1"/>
  <c r="G25" i="1"/>
  <c r="E26" i="1"/>
  <c r="E25" i="1"/>
  <c r="M23" i="1"/>
  <c r="M21" i="1"/>
  <c r="M22" i="1" s="1"/>
  <c r="L23" i="1"/>
  <c r="L21" i="1"/>
  <c r="L22" i="1" s="1"/>
  <c r="K22" i="1"/>
  <c r="I23" i="1"/>
  <c r="I21" i="1"/>
  <c r="I22" i="1" s="1"/>
  <c r="G21" i="1"/>
  <c r="G22" i="1" s="1"/>
  <c r="F22" i="1"/>
  <c r="J23" i="1"/>
  <c r="H23" i="1"/>
  <c r="G23" i="1"/>
  <c r="E23" i="1"/>
  <c r="J21" i="1"/>
  <c r="J22" i="1" s="1"/>
  <c r="H21" i="1"/>
  <c r="H22" i="1" s="1"/>
  <c r="E21" i="1"/>
  <c r="E22" i="1" s="1"/>
  <c r="M19" i="1"/>
  <c r="M18" i="1"/>
  <c r="L19" i="1"/>
  <c r="L18" i="1"/>
  <c r="I43" i="1" l="1"/>
  <c r="H42" i="1"/>
  <c r="K42" i="1"/>
  <c r="J42" i="1"/>
  <c r="G43" i="1"/>
  <c r="F42" i="1"/>
  <c r="D45" i="1"/>
  <c r="E43" i="1"/>
  <c r="AI11" i="1" l="1"/>
  <c r="AI10" i="1"/>
  <c r="K12" i="1"/>
  <c r="K13" i="1"/>
  <c r="I13" i="1"/>
  <c r="I12" i="1"/>
  <c r="H13" i="1"/>
  <c r="H12" i="1"/>
  <c r="F13" i="1"/>
  <c r="D13" i="1" l="1"/>
  <c r="K19" i="1" l="1"/>
  <c r="K18" i="1"/>
  <c r="J19" i="1"/>
  <c r="J18" i="1"/>
  <c r="I19" i="1"/>
  <c r="I18" i="1"/>
  <c r="H19" i="1"/>
  <c r="H18" i="1"/>
  <c r="G19" i="1"/>
  <c r="G18" i="1"/>
  <c r="F19" i="1"/>
  <c r="E19" i="1"/>
  <c r="F18" i="1"/>
  <c r="E18" i="1"/>
  <c r="M16" i="1"/>
  <c r="L16" i="1"/>
  <c r="K16" i="1"/>
  <c r="F16" i="1"/>
  <c r="I16" i="1"/>
  <c r="H16" i="1"/>
  <c r="G16" i="1"/>
  <c r="E16" i="1"/>
  <c r="D70" i="1"/>
  <c r="D69" i="1"/>
  <c r="D68" i="1"/>
  <c r="D66" i="1"/>
  <c r="D64" i="1"/>
  <c r="D63" i="1"/>
  <c r="D61" i="1"/>
  <c r="D60" i="1"/>
  <c r="D59" i="1"/>
  <c r="D57" i="1"/>
  <c r="D56" i="1"/>
  <c r="D54" i="1"/>
  <c r="D48" i="1"/>
  <c r="D47" i="1"/>
  <c r="D25" i="1"/>
  <c r="D23" i="1"/>
  <c r="M8" i="1"/>
  <c r="M12" i="1"/>
  <c r="M11" i="1"/>
  <c r="M10" i="1"/>
  <c r="L8" i="1"/>
  <c r="L12" i="1"/>
  <c r="L11" i="1"/>
  <c r="L10" i="1"/>
  <c r="K8" i="1"/>
  <c r="K11" i="1"/>
  <c r="K10" i="1"/>
  <c r="D16" i="1" l="1"/>
  <c r="J8" i="1"/>
  <c r="J12" i="1"/>
  <c r="J11" i="1"/>
  <c r="J10" i="1"/>
  <c r="I8" i="1"/>
  <c r="I11" i="1"/>
  <c r="I10" i="1"/>
  <c r="H8" i="1"/>
  <c r="H11" i="1"/>
  <c r="H10" i="1"/>
  <c r="G12" i="1"/>
  <c r="G11" i="1"/>
  <c r="G10" i="1"/>
  <c r="G8" i="1"/>
  <c r="F12" i="1"/>
  <c r="F11" i="1"/>
  <c r="F10" i="1"/>
  <c r="F8" i="1"/>
  <c r="E12" i="1"/>
  <c r="E11" i="1"/>
  <c r="E8" i="1"/>
  <c r="E10" i="1"/>
  <c r="D10" i="1" l="1"/>
  <c r="D11" i="1"/>
  <c r="D12" i="1"/>
  <c r="D38" i="1"/>
  <c r="D37" i="1"/>
  <c r="D19" i="1" l="1"/>
  <c r="D18" i="1"/>
  <c r="D33" i="1"/>
  <c r="D26" i="1"/>
  <c r="D29" i="1"/>
  <c r="D30" i="1"/>
  <c r="D28" i="1"/>
  <c r="D22" i="1"/>
  <c r="D8" i="1"/>
  <c r="M43" i="1" l="1"/>
  <c r="D43" i="1" s="1"/>
  <c r="M42" i="1"/>
  <c r="D42" i="1" s="1"/>
  <c r="D51" i="1"/>
  <c r="D21" i="1"/>
  <c r="D34" i="1"/>
  <c r="D50" i="1"/>
  <c r="D41" i="1"/>
  <c r="D52" i="1"/>
  <c r="D35" i="1"/>
</calcChain>
</file>

<file path=xl/sharedStrings.xml><?xml version="1.0" encoding="utf-8"?>
<sst xmlns="http://schemas.openxmlformats.org/spreadsheetml/2006/main" count="211" uniqueCount="152">
  <si>
    <t>№ п/п</t>
  </si>
  <si>
    <t>Наименование</t>
  </si>
  <si>
    <t>Ед. изм.</t>
  </si>
  <si>
    <t>Цена за ед. материалы, в т.ч. НДС, руб.</t>
  </si>
  <si>
    <t>Цена всего за материалы, в т.ч. НДС, руб.</t>
  </si>
  <si>
    <t>Цена за ед. работу, в т.ч. НДС, руб.</t>
  </si>
  <si>
    <t>Цена всего за работу, в т.ч. НДС, руб.</t>
  </si>
  <si>
    <t>Итого, в т.ч. НДС, руб.</t>
  </si>
  <si>
    <t>Примечание</t>
  </si>
  <si>
    <t>м2</t>
  </si>
  <si>
    <t>Устройство ниш ЭО, СС, ВК, ОВ в коридорах МОП</t>
  </si>
  <si>
    <t>Пол</t>
  </si>
  <si>
    <t>Входные тамбуры на отм. -1.200</t>
  </si>
  <si>
    <t xml:space="preserve"> Устройство покрытий из керамогранитной антискользящей плитки 20мм, на клеевом составе "Крепс усиленный", затирка швов Киилто. </t>
  </si>
  <si>
    <t>Устройство плинтусов из керамогранитной плитки на клеевом составе Крепс усиленный, затирка швов Киилто</t>
  </si>
  <si>
    <t>мп</t>
  </si>
  <si>
    <t xml:space="preserve"> Устройство покрытий из керамогранитной антискользящей плитки 15мм, на клеевом составе "Крепс усиленный", затирка швов Киилто. </t>
  </si>
  <si>
    <t>Ровнитель на цементном вяжущем марки не ниже М250 толщиной до 20мм (грунт типа АЛЬФАГРУНТ КОНЦЕНТРАТ М, ровнитель типа АЛЬФАПОЛ  К, затворитель Бишофит), или аналог</t>
  </si>
  <si>
    <t>Устройство наливных полиуретановых полов толщиной 2 мм LEVL  (грунтовка - LEVL Coat 108, основной слой LEVL Coat 351, присыпка чипсов (флоки), матовый лак LEVL Coat 253) класс пожарной безопасности КМ3</t>
  </si>
  <si>
    <t xml:space="preserve">Устройство плинтусов из керамогранита  на клеевом составе Крепс усиленный, затирка швов </t>
  </si>
  <si>
    <t>Лестничные марши</t>
  </si>
  <si>
    <t xml:space="preserve">Устройство плинтусов из керамогранитной плитки на клеевом составе Крепс усиленный, затирка швов </t>
  </si>
  <si>
    <t>Ровнитель на цементном вяжущем марки не ниже М250 толщиной до 30мм (грунт типа АЛЬФАГРУНТ КОНЦЕНТРАТ М, ровнитель типа АЛЬФАПОЛ  К, затворитель Бишофит), или аналог</t>
  </si>
  <si>
    <t>п.м.</t>
  </si>
  <si>
    <t>Потолки</t>
  </si>
  <si>
    <t>Шпатлевка потолков под окраску толщиной до 5мм</t>
  </si>
  <si>
    <t>Высококачественная окраска водно-дисперсионными красками (ВДАК), класс пожарной опасности не хуже КМ2</t>
  </si>
  <si>
    <t>Торцы лестничных маршей и межэтажных, этажных площадок (включая торцы у теплых витражей), торцы проемов площадки выхода на кровлю</t>
  </si>
  <si>
    <t>Шпатлевка торцов под окраску толщиной до 5мм (Ротбанд)</t>
  </si>
  <si>
    <t>Высококачественное декоративное покрытие - штукатурка фактурная мелкозернистая</t>
  </si>
  <si>
    <t>Стены</t>
  </si>
  <si>
    <t>Высококачественная штукатурка (на гипсовой основе) по маякам</t>
  </si>
  <si>
    <t>Оклейка стеклосетки типа Wellton паутинка</t>
  </si>
  <si>
    <t xml:space="preserve">Коридоры, стены выхода на кровлю </t>
  </si>
  <si>
    <t>Высококачественная штукатурка (на гипсовой основе) стен по маякам - 20мм</t>
  </si>
  <si>
    <t>Высококачественное декоративное покрытие - штукатурка фактурная мелкозернистая в т.ч. по ГКЛВ</t>
  </si>
  <si>
    <t xml:space="preserve">Окраска канта (10см) </t>
  </si>
  <si>
    <t xml:space="preserve">Шпатлевка стен под окраску толщиной до 3мм </t>
  </si>
  <si>
    <t>Окраска водно-дисперсионными красками (ВДАК), класс пожарной опасности не хуже КМ2</t>
  </si>
  <si>
    <t>Откосы на теплых витражах шириной 50 мм</t>
  </si>
  <si>
    <t>Устройство откосов из ГКЛВ шириной 50 мм</t>
  </si>
  <si>
    <t>Шпатлевка стен под окраску толщиной 3 мм</t>
  </si>
  <si>
    <t>Прочие работы</t>
  </si>
  <si>
    <t>Отделка металлической лестницы-выход на кровлю: грунтовка ГФ-020 (в 1 слой) и окраска пентафталевой эмалью (в 1 слой)</t>
  </si>
  <si>
    <t>Зашивка пространства между ЛМ и ЛШ, ГКЛВ по каркасу с нанесением мозаичной штукатурки ATLAS "DEKO S" (производитель "Тайфун")</t>
  </si>
  <si>
    <t>Установка лючков в нишах под ЭО (коридоры МОП) 300х250мм</t>
  </si>
  <si>
    <t>шт</t>
  </si>
  <si>
    <t>Установка лючков в нишах под ОВ и ВК, (коридоры МОП) 400х200 мм</t>
  </si>
  <si>
    <t>Установка вентрешеток на лифтовые шахты 300*200</t>
  </si>
  <si>
    <t>Примечание:</t>
  </si>
  <si>
    <t>1. Отделка квартир не предусмотрена.</t>
  </si>
  <si>
    <t>Мозаичное покрытие ATLAS "DEKO S" (производитель "Тайфун")</t>
  </si>
  <si>
    <t xml:space="preserve">Устройство плинтусов из керамогранита на клеевом составе Крепс усиленный, затирка швов </t>
  </si>
  <si>
    <t>Стяжку передает Генподрядчик</t>
  </si>
  <si>
    <t>Настенный плинтус высотой 7,5 см</t>
  </si>
  <si>
    <t>Демпферная лента по периметру стен h=150,                Стяжку передает Генподрядчик</t>
  </si>
  <si>
    <t>Цвет белый, матовый</t>
  </si>
  <si>
    <t>Маяки в ходе работ удаляются</t>
  </si>
  <si>
    <t xml:space="preserve">Штукатурка сухими смесями поверхностей потолков </t>
  </si>
  <si>
    <t>Цвет белый</t>
  </si>
  <si>
    <t>Цвет белый, по 1 шт на шахту</t>
  </si>
  <si>
    <t>Цветовое решение - по отдельному согласованию с Заказчиком</t>
  </si>
  <si>
    <t xml:space="preserve">производитель "INGRI". Цветовое решение - по отдельному согласованию с Заказчиком </t>
  </si>
  <si>
    <t>2. Отделка технических помещений, включая тамбуры входов в техподполье в расчете не учтена.</t>
  </si>
  <si>
    <t>Лестничные клетки и лифтовые шахты</t>
  </si>
  <si>
    <r>
      <rPr>
        <b/>
        <sz val="10"/>
        <rFont val="Times New Roman"/>
        <family val="1"/>
        <charset val="204"/>
      </rPr>
      <t>Все стойки, направляющие в перегородке считать из UA-профиля 100%.</t>
    </r>
    <r>
      <rPr>
        <sz val="10"/>
        <rFont val="Times New Roman"/>
        <family val="1"/>
        <charset val="204"/>
      </rPr>
      <t xml:space="preserve">                                  Декоративное покрытие ниш учтено в отделке стен</t>
    </r>
  </si>
  <si>
    <t xml:space="preserve">Все стойки, направляющие в перегородке считать из UA-профиля 100%.  </t>
  </si>
  <si>
    <t>Количество</t>
  </si>
  <si>
    <t>ВСЕГО</t>
  </si>
  <si>
    <t>Расчет стоимости</t>
  </si>
  <si>
    <t xml:space="preserve">Устройство перегородок ГКЛ </t>
  </si>
  <si>
    <t>1.1</t>
  </si>
  <si>
    <t>2.1</t>
  </si>
  <si>
    <t>2.3</t>
  </si>
  <si>
    <t>2.4</t>
  </si>
  <si>
    <r>
      <t>Разделительная перегородка в инженерных нишах ОВ и ВК в МОП. ПРГ8*:</t>
    </r>
    <r>
      <rPr>
        <sz val="11"/>
        <rFont val="Times New Roman"/>
        <family val="1"/>
        <charset val="204"/>
      </rPr>
      <t xml:space="preserve"> ГКЛВ в 2 слоя 25мм-Металлический каркас UA75 (усиленный)75мм-ГКЛВ в 2 слоя 25мм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</si>
  <si>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</si>
  <si>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</si>
  <si>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</si>
  <si>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</si>
  <si>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</si>
  <si>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</si>
  <si>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</si>
  <si>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</si>
  <si>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</si>
  <si>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3.11</t>
  </si>
  <si>
    <t>3.12</t>
  </si>
  <si>
    <t>Выход на кровлю (2секция на отм.+13.800)</t>
  </si>
  <si>
    <t>Потолки 4-го этажа лестничных клеток, низ площадки на отм. +10.350 выхода на кровлю (секция 2), низ лестничных маршей и межэтажных площадок, потолки коридоров, потолки входных тамбуров</t>
  </si>
  <si>
    <t>4.1</t>
  </si>
  <si>
    <t>4.2</t>
  </si>
  <si>
    <t>4.3</t>
  </si>
  <si>
    <t>4.4</t>
  </si>
  <si>
    <t>4.5</t>
  </si>
  <si>
    <t>4.6</t>
  </si>
  <si>
    <t>Этажные площадки на отм-1.200., межквартирный коридор 1-4 этаж</t>
  </si>
  <si>
    <t>Входные зоны на отм.-1.200</t>
  </si>
  <si>
    <t xml:space="preserve">Штукатурка стен сухими цементно-песчаными смесями  </t>
  </si>
  <si>
    <t>Облицовка стен плиткой</t>
  </si>
  <si>
    <t>Монтаж потолочного плинтуса</t>
  </si>
  <si>
    <t xml:space="preserve">Плинтус потолочный </t>
  </si>
  <si>
    <t>Установка лючков в нишах под ОВ и ВК, (коридоры МОП) 200х200 мм</t>
  </si>
  <si>
    <t>5.1</t>
  </si>
  <si>
    <t>6.1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</si>
  <si>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</si>
  <si>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</si>
  <si>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</si>
  <si>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</si>
  <si>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</si>
  <si>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</si>
  <si>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</si>
  <si>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</si>
  <si>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</si>
  <si>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</si>
  <si>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</si>
  <si>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</si>
  <si>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</si>
  <si>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6.2</t>
  </si>
  <si>
    <t>6.3</t>
  </si>
  <si>
    <t>6.4</t>
  </si>
  <si>
    <t>6.5</t>
  </si>
  <si>
    <t>6.6</t>
  </si>
  <si>
    <t>3. В расчете стоимости учесть затраты на укрытие рабочих мест защитной пленкой.</t>
  </si>
  <si>
    <t>4. Учесть затраты на вывоз и утилизацию строительных отходов.</t>
  </si>
  <si>
    <t xml:space="preserve">5. На примыканиях стена-перекрытие учесть галтели, порожки на примыканиях у лифтовых входов. </t>
  </si>
  <si>
    <t>6. Обеспечение технической водой  выполняется Генподрядчиком (точкой подключения).</t>
  </si>
  <si>
    <t>Жилой комплекс №2 с проездом №4, проездом №5 от проезда №7 до ул. Соколиная, проездом №7 от проезда №3 до проезда №5 по адресу: Санкт-Петербург, внутригородское муниципально еобразование поселок Шушары, территория Пулковское, Соколиная улица, участок 3, Дом 2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</si>
  <si>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</si>
  <si>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</si>
  <si>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</si>
  <si>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</si>
  <si>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</si>
  <si>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</si>
  <si>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</si>
  <si>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</si>
  <si>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</si>
  <si>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r>
      <rPr>
        <b/>
        <sz val="11"/>
        <rFont val="Times New Roman"/>
        <family val="1"/>
        <charset val="204"/>
      </rPr>
      <t xml:space="preserve">Квартиры 4 этаж. </t>
    </r>
    <r>
      <rPr>
        <sz val="11"/>
        <rFont val="Times New Roman"/>
        <family val="1"/>
        <charset val="204"/>
      </rPr>
      <t xml:space="preserve">Перегородка межкомнатная </t>
    </r>
    <r>
      <rPr>
        <b/>
        <sz val="11"/>
        <rFont val="Times New Roman"/>
        <family val="1"/>
        <charset val="204"/>
      </rPr>
      <t xml:space="preserve">ПРГ4: </t>
    </r>
    <r>
      <rPr>
        <sz val="11"/>
        <rFont val="Times New Roman"/>
        <family val="1"/>
        <charset val="204"/>
      </rPr>
      <t>ГКЛ в 1 слой 12,5мм - металлический каркас UA75 (усиленный) 75мм - МВП Rockwool Акустик Баттс (или аналог) 50мм - ГКЛ в 1 слой 12,5мм</t>
    </r>
  </si>
  <si>
    <t>2.5</t>
  </si>
  <si>
    <r>
      <t>Разделительная перегородка в инженерных нишах ЭО и СС в МОП. ПРГ8*:</t>
    </r>
    <r>
      <rPr>
        <sz val="11"/>
        <rFont val="Times New Roman"/>
        <family val="1"/>
        <charset val="204"/>
      </rPr>
      <t xml:space="preserve"> ГКЛВ в 2 слоя 25мм-Металлический каркас UA75 (усиленный)75мм-ГКЛО в 2 слоя 25мм</t>
    </r>
  </si>
  <si>
    <t>м3</t>
  </si>
  <si>
    <r>
      <rPr>
        <b/>
        <sz val="11"/>
        <rFont val="Times New Roman"/>
        <family val="1"/>
        <charset val="204"/>
      </rPr>
      <t xml:space="preserve">Перегородка зашивки инженерных ниш ЭО и СС в МОП. ПРГ-5 </t>
    </r>
    <r>
      <rPr>
        <sz val="11"/>
        <rFont val="Times New Roman"/>
        <family val="1"/>
        <charset val="204"/>
      </rPr>
      <t xml:space="preserve"> Металлический каркас UA75 (усиленный) 75мм ГКЛО в 1 слой 12,5мм со шпаклевкой швов. В местах установки электрических щитов предусмотреть усиление брусом верхней и нижней горизонтальной перемычки щитка, брус 70*50 (</t>
    </r>
    <r>
      <rPr>
        <b/>
        <sz val="11"/>
        <rFont val="Times New Roman"/>
        <family val="1"/>
        <charset val="204"/>
      </rPr>
      <t>311 п.м</t>
    </r>
    <r>
      <rPr>
        <sz val="11"/>
        <rFont val="Times New Roman"/>
        <family val="1"/>
        <charset val="204"/>
      </rPr>
      <t>), обработанный огнебиозащитным составом 1 или 2гр.огнезащитной эффективности.</t>
    </r>
  </si>
  <si>
    <r>
      <rPr>
        <b/>
        <sz val="11"/>
        <rFont val="Times New Roman"/>
        <family val="1"/>
        <charset val="204"/>
      </rPr>
      <t xml:space="preserve">Перегородка зашивки инженерных ниш ОВ и ВК в МОП. ПРГ-5 </t>
    </r>
    <r>
      <rPr>
        <sz val="11"/>
        <rFont val="Times New Roman"/>
        <family val="1"/>
        <charset val="204"/>
      </rPr>
      <t xml:space="preserve"> Металлический каркас UA75 (усиленный) 75мм ГКЛВ в 1 слой 12,5мм со шпаклевкой швов. В местах установки дверей предусмотреть усиление брусом дверных проемов по вертикали от пола до перекрытия, брус 70*50 (</t>
    </r>
    <r>
      <rPr>
        <b/>
        <sz val="11"/>
        <rFont val="Times New Roman"/>
        <family val="1"/>
        <charset val="204"/>
      </rPr>
      <t>1050 п.м</t>
    </r>
    <r>
      <rPr>
        <sz val="11"/>
        <rFont val="Times New Roman"/>
        <family val="1"/>
        <charset val="204"/>
      </rPr>
      <t>), обработанный огнебиозащитным составом 1 или 2гр. огнезащитной эффективности</t>
    </r>
  </si>
  <si>
    <t>Зашивка радиаторов на площадках на отм.- 1,200 из ГКЛВ 12,5мм в два слоя с одной стороны на металлическом одинарном каркасе ПС50/ПС75 и шпаклевкой швов</t>
  </si>
  <si>
    <t>Окраска ниш радиаторов водно-дисперсионными красками (ВДАК), класс пожарной опасности не хуже КМ2</t>
  </si>
  <si>
    <t>5.15</t>
  </si>
  <si>
    <t>5.16</t>
  </si>
  <si>
    <t>учтены все радиаторы, штукатурка каркаса в основном объеме стен</t>
  </si>
  <si>
    <t>Лестничные межэтажные площадки (монолит), Площадки выхода на кровлю на отм. +10,350; +12,920; +13,350 ( секции 2, 7)</t>
  </si>
  <si>
    <t>6.7</t>
  </si>
  <si>
    <t>6.8</t>
  </si>
  <si>
    <t>Установка лючков в нишах под ЭО (коридоры МОП) 200х200мм</t>
  </si>
  <si>
    <t>Зашивка пространства между ЛШ и плитой покрытия Кнауф Файерборд по каркасу с нанесением декоративной штукатурки в 1 слой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</si>
</sst>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rgb="FF0020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4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4" fontId="7" fillId="3" borderId="3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0" xfId="1" applyFont="1"/>
    <xf numFmtId="0" fontId="8" fillId="4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2" fontId="14" fillId="0" borderId="3" xfId="1" applyNumberFormat="1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22" fillId="0" borderId="0" xfId="1" applyFont="1"/>
    <xf numFmtId="2" fontId="6" fillId="3" borderId="1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Alignment="1">
      <alignment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2" fillId="0" borderId="0" xfId="1" applyNumberFormat="1" applyFont="1" applyFill="1"/>
    <xf numFmtId="2" fontId="12" fillId="0" borderId="0" xfId="1" applyNumberFormat="1" applyFont="1" applyFill="1" applyAlignment="1">
      <alignment vertical="center"/>
    </xf>
    <xf numFmtId="2" fontId="23" fillId="0" borderId="1" xfId="1" applyNumberFormat="1" applyFont="1" applyFill="1" applyBorder="1" applyAlignment="1">
      <alignment horizontal="center" vertical="center" wrapText="1"/>
    </xf>
    <xf numFmtId="2" fontId="24" fillId="3" borderId="1" xfId="1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 wrapText="1"/>
    </xf>
    <xf numFmtId="2" fontId="27" fillId="0" borderId="3" xfId="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/>
    </xf>
    <xf numFmtId="2" fontId="27" fillId="0" borderId="0" xfId="1" applyNumberFormat="1" applyFont="1" applyFill="1" applyAlignment="1">
      <alignment horizontal="center" vertical="center"/>
    </xf>
    <xf numFmtId="2" fontId="27" fillId="0" borderId="0" xfId="1" applyNumberFormat="1" applyFont="1" applyFill="1" applyAlignment="1">
      <alignment vertical="center"/>
    </xf>
    <xf numFmtId="0" fontId="9" fillId="0" borderId="0" xfId="0" applyFont="1"/>
    <xf numFmtId="2" fontId="26" fillId="0" borderId="0" xfId="0" applyNumberFormat="1" applyFont="1" applyFill="1"/>
    <xf numFmtId="2" fontId="9" fillId="0" borderId="0" xfId="0" applyNumberFormat="1" applyFont="1" applyFill="1"/>
    <xf numFmtId="2" fontId="9" fillId="0" borderId="1" xfId="0" applyNumberFormat="1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/>
    <xf numFmtId="2" fontId="26" fillId="0" borderId="1" xfId="0" applyNumberFormat="1" applyFont="1" applyFill="1" applyBorder="1"/>
    <xf numFmtId="0" fontId="29" fillId="0" borderId="0" xfId="0" applyFont="1"/>
    <xf numFmtId="49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2" fontId="24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/>
    <xf numFmtId="49" fontId="6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4" fillId="0" borderId="0" xfId="1" applyFont="1" applyBorder="1"/>
    <xf numFmtId="0" fontId="4" fillId="0" borderId="0" xfId="1" applyFont="1" applyFill="1" applyBorder="1" applyAlignment="1">
      <alignment horizontal="left" vertical="center" wrapText="1"/>
    </xf>
    <xf numFmtId="2" fontId="25" fillId="3" borderId="3" xfId="1" applyNumberFormat="1" applyFont="1" applyFill="1" applyBorder="1" applyAlignment="1">
      <alignment horizontal="center" vertical="center" wrapText="1"/>
    </xf>
    <xf numFmtId="2" fontId="7" fillId="3" borderId="3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/>
    </xf>
    <xf numFmtId="2" fontId="28" fillId="4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2" fontId="26" fillId="4" borderId="2" xfId="1" applyNumberFormat="1" applyFont="1" applyFill="1" applyBorder="1" applyAlignment="1">
      <alignment horizontal="center" vertical="center" wrapText="1"/>
    </xf>
    <xf numFmtId="2" fontId="6" fillId="4" borderId="2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4" fillId="5" borderId="1" xfId="1" applyNumberFormat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/>
    </xf>
    <xf numFmtId="0" fontId="15" fillId="0" borderId="0" xfId="1" applyFont="1" applyAlignment="1">
      <alignment horizontal="left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2" fontId="20" fillId="0" borderId="3" xfId="1" applyNumberFormat="1" applyFont="1" applyBorder="1" applyAlignment="1">
      <alignment horizontal="center" vertical="center" wrapText="1"/>
    </xf>
    <xf numFmtId="2" fontId="20" fillId="0" borderId="2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21" fillId="0" borderId="1" xfId="1" applyFont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13 2 2 16" xfId="2" xr:uid="{A6D85051-FEB4-450D-B3EC-E9FB70C132B4}"/>
    <cellStyle name="Обычный 2 2 2" xfId="1" xr:uid="{E0C205F1-B078-4BCE-9FE3-2E46AA7C4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A5DA-8111-401E-BD7A-E6DFCBD185D5}">
  <dimension ref="A1:AI79"/>
  <sheetViews>
    <sheetView tabSelected="1" topLeftCell="A5" zoomScale="110" zoomScaleNormal="110" workbookViewId="0">
      <pane xSplit="4" ySplit="2" topLeftCell="E7" activePane="bottomRight" state="frozen"/>
      <selection activeCell="A5" sqref="A5"/>
      <selection pane="topRight" activeCell="E5" sqref="E5"/>
      <selection pane="bottomLeft" activeCell="A7" sqref="A7"/>
      <selection pane="bottomRight" activeCell="K52" sqref="K52"/>
    </sheetView>
  </sheetViews>
  <sheetFormatPr defaultColWidth="9.140625" defaultRowHeight="15.75" x14ac:dyDescent="0.25"/>
  <cols>
    <col min="1" max="1" width="10.5703125" style="70" customWidth="1"/>
    <col min="2" max="2" width="52.85546875" style="39" customWidth="1"/>
    <col min="3" max="3" width="6.140625" style="39" customWidth="1"/>
    <col min="4" max="4" width="9.42578125" style="67" customWidth="1"/>
    <col min="5" max="13" width="8.85546875" style="56" customWidth="1"/>
    <col min="14" max="18" width="13" style="70" customWidth="1"/>
    <col min="19" max="19" width="28" style="70" customWidth="1"/>
    <col min="20" max="21" width="9.140625" style="70"/>
    <col min="22" max="22" width="9.85546875" style="70" customWidth="1"/>
    <col min="23" max="16384" width="9.140625" style="70"/>
  </cols>
  <sheetData>
    <row r="1" spans="1:35" x14ac:dyDescent="0.25"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</row>
    <row r="2" spans="1:35" s="1" customFormat="1" ht="18.75" customHeight="1" x14ac:dyDescent="0.25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35" s="1" customFormat="1" ht="34.5" customHeight="1" x14ac:dyDescent="0.25">
      <c r="A3" s="128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35" x14ac:dyDescent="0.25">
      <c r="N4" s="39"/>
      <c r="O4" s="39"/>
      <c r="P4" s="39"/>
      <c r="Q4" s="39"/>
      <c r="R4" s="39"/>
    </row>
    <row r="5" spans="1:35" s="79" customFormat="1" ht="15" x14ac:dyDescent="0.25">
      <c r="A5" s="129" t="s">
        <v>0</v>
      </c>
      <c r="B5" s="130" t="s">
        <v>1</v>
      </c>
      <c r="C5" s="130" t="s">
        <v>2</v>
      </c>
      <c r="D5" s="131" t="s">
        <v>67</v>
      </c>
      <c r="E5" s="131"/>
      <c r="F5" s="131"/>
      <c r="G5" s="131"/>
      <c r="H5" s="131"/>
      <c r="I5" s="131"/>
      <c r="J5" s="131"/>
      <c r="K5" s="131"/>
      <c r="L5" s="131"/>
      <c r="M5" s="131"/>
      <c r="N5" s="121" t="s">
        <v>3</v>
      </c>
      <c r="O5" s="121" t="s">
        <v>4</v>
      </c>
      <c r="P5" s="124" t="s">
        <v>5</v>
      </c>
      <c r="Q5" s="121" t="s">
        <v>6</v>
      </c>
      <c r="R5" s="121" t="s">
        <v>7</v>
      </c>
      <c r="S5" s="126" t="s">
        <v>8</v>
      </c>
    </row>
    <row r="6" spans="1:35" s="50" customFormat="1" ht="62.25" customHeight="1" x14ac:dyDescent="0.2">
      <c r="A6" s="129"/>
      <c r="B6" s="130"/>
      <c r="C6" s="130"/>
      <c r="D6" s="59" t="s">
        <v>68</v>
      </c>
      <c r="E6" s="106" t="s">
        <v>127</v>
      </c>
      <c r="F6" s="107" t="s">
        <v>128</v>
      </c>
      <c r="G6" s="107" t="s">
        <v>129</v>
      </c>
      <c r="H6" s="107" t="s">
        <v>130</v>
      </c>
      <c r="I6" s="107" t="s">
        <v>131</v>
      </c>
      <c r="J6" s="107" t="s">
        <v>132</v>
      </c>
      <c r="K6" s="107" t="s">
        <v>133</v>
      </c>
      <c r="L6" s="107" t="s">
        <v>134</v>
      </c>
      <c r="M6" s="107" t="s">
        <v>135</v>
      </c>
      <c r="N6" s="132"/>
      <c r="O6" s="122"/>
      <c r="P6" s="125"/>
      <c r="Q6" s="122"/>
      <c r="R6" s="122"/>
      <c r="S6" s="127"/>
    </row>
    <row r="7" spans="1:35" s="1" customFormat="1" ht="17.25" customHeight="1" x14ac:dyDescent="0.25">
      <c r="A7" s="2">
        <v>1</v>
      </c>
      <c r="B7" s="3" t="s">
        <v>70</v>
      </c>
      <c r="C7" s="4"/>
      <c r="D7" s="60"/>
      <c r="E7" s="51"/>
      <c r="F7" s="51"/>
      <c r="G7" s="51"/>
      <c r="H7" s="51"/>
      <c r="I7" s="51"/>
      <c r="J7" s="51"/>
      <c r="K7" s="51"/>
      <c r="L7" s="51"/>
      <c r="M7" s="51"/>
      <c r="N7" s="5"/>
      <c r="O7" s="5"/>
      <c r="P7" s="5"/>
      <c r="Q7" s="5"/>
      <c r="R7" s="5"/>
      <c r="S7" s="5"/>
    </row>
    <row r="8" spans="1:35" s="85" customFormat="1" ht="64.5" customHeight="1" x14ac:dyDescent="0.25">
      <c r="A8" s="80" t="s">
        <v>71</v>
      </c>
      <c r="B8" s="81" t="s">
        <v>136</v>
      </c>
      <c r="C8" s="82" t="s">
        <v>9</v>
      </c>
      <c r="D8" s="83">
        <f>SUM(E8:M8)</f>
        <v>182.65799999999999</v>
      </c>
      <c r="E8" s="108">
        <f>(1*3+0.86+0.59+1.12+0.82+1.2)*4.2</f>
        <v>31.878000000000004</v>
      </c>
      <c r="F8" s="108">
        <f>(1+0.6+1+1.02+0.44+0.6+0.6+1+1.33+0.76)*4.2</f>
        <v>35.07</v>
      </c>
      <c r="G8" s="108">
        <f>(1+1.2+1.9)*4.2</f>
        <v>17.22</v>
      </c>
      <c r="H8" s="108">
        <f>(0.77+2.3+0.5+0.5)*4.2</f>
        <v>17.094000000000001</v>
      </c>
      <c r="I8" s="108">
        <f>(1.12+1+2.94+1.2+0.82)*4.2</f>
        <v>29.736000000000004</v>
      </c>
      <c r="J8" s="108">
        <f>(1+1.02+0.46)*4.2</f>
        <v>10.416</v>
      </c>
      <c r="K8" s="108">
        <f>(1*3)*4.2</f>
        <v>12.600000000000001</v>
      </c>
      <c r="L8" s="108">
        <f>(1.42+1.2*2)*4.2</f>
        <v>16.044</v>
      </c>
      <c r="M8" s="108">
        <f>(1*3)*4.2</f>
        <v>12.600000000000001</v>
      </c>
      <c r="N8" s="84"/>
      <c r="O8" s="84"/>
      <c r="P8" s="84"/>
      <c r="Q8" s="84"/>
      <c r="R8" s="84"/>
      <c r="S8" s="84"/>
      <c r="V8" s="88"/>
    </row>
    <row r="9" spans="1:35" s="1" customFormat="1" ht="16.5" customHeight="1" x14ac:dyDescent="0.25">
      <c r="A9" s="2">
        <v>2</v>
      </c>
      <c r="B9" s="2" t="s">
        <v>10</v>
      </c>
      <c r="C9" s="2"/>
      <c r="D9" s="60"/>
      <c r="E9" s="52"/>
      <c r="F9" s="52"/>
      <c r="G9" s="52"/>
      <c r="H9" s="52"/>
      <c r="I9" s="52"/>
      <c r="J9" s="52"/>
      <c r="K9" s="52"/>
      <c r="L9" s="52"/>
      <c r="M9" s="52"/>
      <c r="N9" s="2"/>
      <c r="O9" s="5"/>
      <c r="P9" s="5"/>
      <c r="Q9" s="5"/>
      <c r="R9" s="5"/>
      <c r="S9" s="5"/>
      <c r="V9" s="89"/>
    </row>
    <row r="10" spans="1:35" ht="122.25" customHeight="1" x14ac:dyDescent="0.25">
      <c r="A10" s="80" t="s">
        <v>72</v>
      </c>
      <c r="B10" s="43" t="s">
        <v>140</v>
      </c>
      <c r="C10" s="13" t="s">
        <v>9</v>
      </c>
      <c r="D10" s="61">
        <f>SUM(E10:M10)</f>
        <v>180.94330000000005</v>
      </c>
      <c r="E10" s="108">
        <f>(1.1*2.99-1.025*1)*3+(1.1*4.5-1.025*1)</f>
        <v>10.717000000000002</v>
      </c>
      <c r="F10" s="108">
        <f>(2.99*2.99-1.025*1*2)*3+(2.99*4.5-1.025*1*2)</f>
        <v>32.075300000000006</v>
      </c>
      <c r="G10" s="108">
        <f>(1.1*2.99-1.025*1)*3+(1.1*4.5-1.025*1)</f>
        <v>10.717000000000002</v>
      </c>
      <c r="H10" s="108">
        <f>(2.9*2.99-1.025*1*2)*3+(2.9*4.5-1.025*1*2)</f>
        <v>30.863000000000003</v>
      </c>
      <c r="I10" s="108">
        <f>(2.61*2.99-1.025*1*2)*3+(2.61*4.5-1.025*1*2)</f>
        <v>26.956700000000001</v>
      </c>
      <c r="J10" s="108">
        <f>((0.33+1.1)*2.99-1.025*1)*3+((0.33+1.1)*4.5-1.025*1)</f>
        <v>15.162100000000002</v>
      </c>
      <c r="K10" s="108">
        <f>((0.4+2.33)*2.99-1.025*1*2)*3+((0.4+2.33)*4.5-1.025*1*2)</f>
        <v>28.573100000000004</v>
      </c>
      <c r="L10" s="108">
        <f>((1.1+0.33)*2.99-1.025*1)*3+((1.1+0.33)*4.5-1.025*1)</f>
        <v>15.162100000000002</v>
      </c>
      <c r="M10" s="108">
        <f>(1.1*2.99-1.025*1)*3+(1.1*4.5-1.025*1)</f>
        <v>10.717000000000002</v>
      </c>
      <c r="N10" s="73"/>
      <c r="O10" s="11"/>
      <c r="P10" s="11"/>
      <c r="Q10" s="11"/>
      <c r="R10" s="11"/>
      <c r="S10" s="93" t="s">
        <v>65</v>
      </c>
      <c r="V10" s="90"/>
      <c r="AI10" s="70">
        <f>2.99*2*4+2.99*4*4+2.99*2*4+2.99*4*4+2.99*4*4+2.99*2*4+2.99*4*4+2.99*2*4+2.99*2*4</f>
        <v>310.96000000000004</v>
      </c>
    </row>
    <row r="11" spans="1:35" ht="103.5" customHeight="1" x14ac:dyDescent="0.25">
      <c r="A11" s="86" t="s">
        <v>73</v>
      </c>
      <c r="B11" s="43" t="s">
        <v>141</v>
      </c>
      <c r="C11" s="13" t="s">
        <v>9</v>
      </c>
      <c r="D11" s="61">
        <f t="shared" ref="D11:D12" si="0">SUM(E11:M11)</f>
        <v>333.20640000000003</v>
      </c>
      <c r="E11" s="108">
        <f>((2.13+2.81)*2.99-1*2.1*4)*3+((2.13+2.81)*4.5-1*2.1*4)</f>
        <v>32.941799999999994</v>
      </c>
      <c r="F11" s="108">
        <f>((3.7+1+0.57+3.05)*2.99-1.3*2.1*4-1*2.1)*3+((3.7+1+0.57+3.05)*4.5-1.3*2.1*4-1*2.1)</f>
        <v>59.990400000000001</v>
      </c>
      <c r="G11" s="108">
        <f>(2.22*2.99-1*2.1*2)*3+(2.22*4.5-1*2.1*2)</f>
        <v>13.103400000000004</v>
      </c>
      <c r="H11" s="108">
        <f>((3.05+2.73)*2.99-1.3*2.1*4)*3+((3.05+2.73)*4.5-1.3*2.1*4)</f>
        <v>34.176599999999993</v>
      </c>
      <c r="I11" s="108">
        <f>((3.42+3.25)*2.99-1.3*2.1*4)*3+((3.42+3.25)*4.5-1.3*2.1*4)</f>
        <v>46.164899999999996</v>
      </c>
      <c r="J11" s="108">
        <f>((2.65+2.65)*2.99-1*2.1*2*2)*3+((2.65+2.65)*4.5-1*2.1*2*2)</f>
        <v>37.790999999999997</v>
      </c>
      <c r="K11" s="108">
        <f>((0.81+2.73+1.34+3.42)*2.99-2.1*1.3*5)*3+((0.81+2.73+1.34+3.42)*4.5-2.1*1.3*5)</f>
        <v>57.201000000000008</v>
      </c>
      <c r="L11" s="108">
        <f>((2.65+2.12)*2.99-1*2.1*4)*3+((2.65+2.12)*4.5-1*2.1*4)</f>
        <v>30.651899999999998</v>
      </c>
      <c r="M11" s="108">
        <f>(2.82*2.99-1*2.1*2)*3+(2.82*4.5-1*2.1*2)</f>
        <v>21.185400000000001</v>
      </c>
      <c r="N11" s="11"/>
      <c r="O11" s="11"/>
      <c r="P11" s="11"/>
      <c r="Q11" s="74"/>
      <c r="R11" s="11"/>
      <c r="S11" s="94" t="s">
        <v>66</v>
      </c>
      <c r="V11" s="90"/>
      <c r="AI11" s="70">
        <f>(2.99*4*2+0.84*4)*3+(4.5*4*2+0.84*4)+(2.99*4+0.84+1.14*2+2.99*2+1.14*2+2.99*4)*3+(4.5*4+0.84+1.14*2+4.5*2+1.14*2+4.5*4)+(2.99*4+0.84*2)*3+(4.5*4+0.84*2)+(2.99*4*2+1.14*4)*3+(4.5*4*2+1.14*4)+(2.99*4*2+1.14*4)*3+(4.5*4*2+1.14*4)+(2.99*4*2+0.84*4)*3+(4.5*4*2+0.84*4)+(2.99*6+2.99*4+1.14*5)*3+(4.5*6+4.5*4+1.14*5)+(2.99*4*2+0.84*4)*3+(4.5*4*2+0.84*4)+(2.99*4+0.84*2)*3+(4.5*4+0.84*2)</f>
        <v>1050.6000000000001</v>
      </c>
    </row>
    <row r="12" spans="1:35" ht="59.25" x14ac:dyDescent="0.25">
      <c r="A12" s="86" t="s">
        <v>74</v>
      </c>
      <c r="B12" s="87" t="s">
        <v>75</v>
      </c>
      <c r="C12" s="13" t="s">
        <v>9</v>
      </c>
      <c r="D12" s="61">
        <f t="shared" si="0"/>
        <v>188.31059999999997</v>
      </c>
      <c r="E12" s="108">
        <f>(0.5*3*2.99)*3+(0.5*3*4.5)</f>
        <v>20.205000000000002</v>
      </c>
      <c r="F12" s="108">
        <f>(0.48*2.99*6)*3+(0.48*4.5*6)</f>
        <v>38.793599999999998</v>
      </c>
      <c r="G12" s="108">
        <f>(0.48*2.99)*3+(0.48*4.5)</f>
        <v>6.4656000000000002</v>
      </c>
      <c r="H12" s="108">
        <f>(0.48*3)*2.99*3+(0.48*3)*4.5</f>
        <v>19.396799999999999</v>
      </c>
      <c r="I12" s="108">
        <f>((0.48*4)*2.99)*3+((0.48*4)*4.5)</f>
        <v>25.862400000000001</v>
      </c>
      <c r="J12" s="108">
        <f>(0.48*4*2.99)*3+(0.48*4*4.5)</f>
        <v>25.862400000000001</v>
      </c>
      <c r="K12" s="108">
        <f>((0.48*3)*2.99)*3+((0.48*3)*4.5)</f>
        <v>19.396799999999999</v>
      </c>
      <c r="L12" s="108">
        <f>(0.48*3*2.99)*3+(0.48*3*4.5)</f>
        <v>19.396799999999999</v>
      </c>
      <c r="M12" s="108">
        <f>(0.48*2*2.99)*3+(0.48*2*4.5)</f>
        <v>12.9312</v>
      </c>
      <c r="N12" s="11"/>
      <c r="O12" s="11"/>
      <c r="P12" s="11"/>
      <c r="Q12" s="11"/>
      <c r="R12" s="11"/>
      <c r="S12" s="94" t="s">
        <v>66</v>
      </c>
      <c r="V12" s="90"/>
    </row>
    <row r="13" spans="1:35" ht="59.25" x14ac:dyDescent="0.25">
      <c r="A13" s="86" t="s">
        <v>137</v>
      </c>
      <c r="B13" s="87" t="s">
        <v>138</v>
      </c>
      <c r="C13" s="13" t="s">
        <v>139</v>
      </c>
      <c r="D13" s="61">
        <f t="shared" ref="D13" si="1">SUM(E13:M13)</f>
        <v>15.221100000000002</v>
      </c>
      <c r="E13" s="109">
        <v>0</v>
      </c>
      <c r="F13" s="109">
        <f>0.25*2.99*3+0.25*4.5</f>
        <v>3.3675000000000002</v>
      </c>
      <c r="G13" s="109">
        <v>0</v>
      </c>
      <c r="H13" s="109">
        <f>0.27*2.99*3+0.27*4.5</f>
        <v>3.6369000000000007</v>
      </c>
      <c r="I13" s="109">
        <f>0.33*2.99*3+0.33*4.5</f>
        <v>4.4451000000000009</v>
      </c>
      <c r="J13" s="109">
        <v>0</v>
      </c>
      <c r="K13" s="109">
        <f>0.28*2.99*3+0.28*4.5</f>
        <v>3.7716000000000007</v>
      </c>
      <c r="L13" s="109">
        <v>0</v>
      </c>
      <c r="M13" s="109">
        <v>0</v>
      </c>
      <c r="N13" s="77"/>
      <c r="O13" s="77"/>
      <c r="P13" s="77"/>
      <c r="Q13" s="77"/>
      <c r="R13" s="77"/>
      <c r="S13" s="94" t="s">
        <v>66</v>
      </c>
      <c r="V13" s="90"/>
    </row>
    <row r="14" spans="1:35" s="1" customFormat="1" ht="15" customHeight="1" x14ac:dyDescent="0.25">
      <c r="A14" s="6">
        <v>3</v>
      </c>
      <c r="B14" s="7" t="s">
        <v>11</v>
      </c>
      <c r="C14" s="8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"/>
      <c r="O14" s="10"/>
      <c r="P14" s="10"/>
      <c r="Q14" s="10"/>
      <c r="R14" s="10"/>
      <c r="S14" s="10"/>
    </row>
    <row r="15" spans="1:35" x14ac:dyDescent="0.25">
      <c r="A15" s="11"/>
      <c r="B15" s="12" t="s">
        <v>12</v>
      </c>
      <c r="C15" s="13"/>
      <c r="D15" s="61"/>
      <c r="E15" s="54"/>
      <c r="F15" s="54"/>
      <c r="G15" s="54"/>
      <c r="H15" s="54"/>
      <c r="I15" s="54"/>
      <c r="J15" s="54"/>
      <c r="K15" s="54"/>
      <c r="L15" s="54"/>
      <c r="M15" s="54"/>
      <c r="N15" s="11"/>
      <c r="O15" s="11"/>
      <c r="P15" s="11"/>
      <c r="Q15" s="11"/>
      <c r="R15" s="11"/>
      <c r="S15" s="11"/>
    </row>
    <row r="16" spans="1:35" ht="45" x14ac:dyDescent="0.25">
      <c r="A16" s="95" t="s">
        <v>76</v>
      </c>
      <c r="B16" s="14" t="s">
        <v>13</v>
      </c>
      <c r="C16" s="13" t="s">
        <v>9</v>
      </c>
      <c r="D16" s="61">
        <f>SUM(E16:M16)</f>
        <v>111.7</v>
      </c>
      <c r="E16" s="108">
        <f>11.9</f>
        <v>11.9</v>
      </c>
      <c r="F16" s="108">
        <f>14.5</f>
        <v>14.5</v>
      </c>
      <c r="G16" s="108">
        <f>11.9</f>
        <v>11.9</v>
      </c>
      <c r="H16" s="108">
        <f>11.9</f>
        <v>11.9</v>
      </c>
      <c r="I16" s="108">
        <f>13.5</f>
        <v>13.5</v>
      </c>
      <c r="J16" s="108">
        <v>11.9</v>
      </c>
      <c r="K16" s="108">
        <f>12.3</f>
        <v>12.3</v>
      </c>
      <c r="L16" s="108">
        <f>11.9</f>
        <v>11.9</v>
      </c>
      <c r="M16" s="108">
        <f>11.9</f>
        <v>11.9</v>
      </c>
      <c r="O16" s="11"/>
      <c r="P16" s="11"/>
      <c r="Q16" s="11"/>
      <c r="R16" s="11"/>
      <c r="S16" s="19" t="s">
        <v>53</v>
      </c>
    </row>
    <row r="17" spans="1:19" ht="28.5" x14ac:dyDescent="0.25">
      <c r="A17" s="13"/>
      <c r="B17" s="15" t="s">
        <v>95</v>
      </c>
      <c r="C17" s="13"/>
      <c r="D17" s="61"/>
      <c r="E17" s="54"/>
      <c r="F17" s="54"/>
      <c r="G17" s="54"/>
      <c r="H17" s="54"/>
      <c r="I17" s="54"/>
      <c r="J17" s="54"/>
      <c r="K17" s="54"/>
      <c r="L17" s="54"/>
      <c r="M17" s="54"/>
      <c r="N17" s="11"/>
      <c r="O17" s="11"/>
      <c r="P17" s="11"/>
      <c r="Q17" s="11"/>
      <c r="R17" s="11"/>
      <c r="S17" s="11"/>
    </row>
    <row r="18" spans="1:19" ht="60" x14ac:dyDescent="0.25">
      <c r="A18" s="95" t="s">
        <v>77</v>
      </c>
      <c r="B18" s="14" t="s">
        <v>16</v>
      </c>
      <c r="C18" s="13" t="s">
        <v>9</v>
      </c>
      <c r="D18" s="61">
        <f t="shared" ref="D18:D19" si="2">SUM(E18:M18)</f>
        <v>1868.64</v>
      </c>
      <c r="E18" s="108">
        <f>18.83+44.65*4</f>
        <v>197.43</v>
      </c>
      <c r="F18" s="108">
        <f>24.74+17.91+54.88+54.89*3</f>
        <v>262.20000000000005</v>
      </c>
      <c r="G18" s="108">
        <f>18.83+25.27*4</f>
        <v>119.91</v>
      </c>
      <c r="H18" s="108">
        <f>18.83+48.22*4</f>
        <v>211.70999999999998</v>
      </c>
      <c r="I18" s="108">
        <f>30.88+12.91+65.43+64.85*3</f>
        <v>303.77</v>
      </c>
      <c r="J18" s="108">
        <f>18.83+46.21*4</f>
        <v>203.67000000000002</v>
      </c>
      <c r="K18" s="108">
        <f>25.84+12.91+65.3+64.88*3</f>
        <v>298.69</v>
      </c>
      <c r="L18" s="108">
        <f>17.02+38.86*4</f>
        <v>172.46</v>
      </c>
      <c r="M18" s="108">
        <f>17+20.45*4</f>
        <v>98.8</v>
      </c>
      <c r="N18" s="11"/>
      <c r="O18" s="11"/>
      <c r="P18" s="11"/>
      <c r="Q18" s="11"/>
      <c r="R18" s="11"/>
      <c r="S18" s="75" t="s">
        <v>55</v>
      </c>
    </row>
    <row r="19" spans="1:19" ht="45" x14ac:dyDescent="0.25">
      <c r="A19" s="95" t="s">
        <v>78</v>
      </c>
      <c r="B19" s="14" t="s">
        <v>14</v>
      </c>
      <c r="C19" s="13" t="s">
        <v>15</v>
      </c>
      <c r="D19" s="61">
        <f t="shared" si="2"/>
        <v>1434.51</v>
      </c>
      <c r="E19" s="108">
        <f>(0.7+0.4+0.63+0.24+3+1.33+3.3)+(56.55-(1.14*2+0.84*2+1.14*6+0.84*2+1.23+0.15+0.1+1.03+0.1+0.15+1.23))*3</f>
        <v>129.84</v>
      </c>
      <c r="F19" s="108">
        <f>3.29+1.39+2.96+0.63+0.24+3+0.87+2.6+0.7+19.28-(1.4+1.33)+69.32-(1.14*7+1.14*4+1.35+0.84+1.4+1.03+2.22+0.1)+(69.32-(1.14*13+0.84+1.36+0.1+1.03+2.25+0.1))*3</f>
        <v>228.52999999999997</v>
      </c>
      <c r="G19" s="108">
        <f>0.7+0.4+0.63+0.24+3+1.33+3.3+(32.1-(1.33+0.15*2+1.33+1.03+1.14*4+0.84*2))*4</f>
        <v>97.08</v>
      </c>
      <c r="H19" s="108">
        <f>0.7+0.4+0.63+0.24+3+1.33+3.3+(60-(1.14*13+1.33*2+0.15*2+1.03))*4</f>
        <v>174.35999999999999</v>
      </c>
      <c r="I19" s="108">
        <f>0.7+2.6+3.23+0.45+0.45+2.85+1.85+2.6+3.22+5.12+0.82+0.3+1.2*2+0.16+62.5-(1.14*12+1.03+3.22+1.55)+(62.23-(1.14*13+1.03+2.22+0.25))*3</f>
        <v>201.5</v>
      </c>
      <c r="J19" s="108">
        <f>0.7+0.4+0.63+0.24+3+1.33+3.3+(56.06-(1.14*8+0.84*4+1.33*2+0.15*2))*4</f>
        <v>172.08</v>
      </c>
      <c r="K19" s="108">
        <f>0.3+3.22+1.85+5.12+2.6+0.82+1.2*2+0.16+0.7+2.6+0.83+0.44+0.47*2+0.17+0.67+3.3+64.59-(1.14*13+3.22+1.03+1.55)+(64.48-(1.14*14+3.22+0.3+1.03))*3</f>
        <v>202</v>
      </c>
      <c r="L19" s="108">
        <f>0.7+0.4+0.63+0.24+3+1.33+3.3+(48.96-(1.14*8+0.84*4+1.33*2+0.15*2))*4</f>
        <v>143.68</v>
      </c>
      <c r="M19" s="108">
        <f>0.7+0.4+0.63+0.24+3+1.33+3.3+(27.02-(1.14*3+0.84*2+1.33*2+0.15*2))*4</f>
        <v>85.44</v>
      </c>
      <c r="N19" s="11"/>
      <c r="O19" s="11"/>
      <c r="P19" s="11"/>
      <c r="Q19" s="11"/>
      <c r="R19" s="11"/>
      <c r="S19" s="38" t="s">
        <v>54</v>
      </c>
    </row>
    <row r="20" spans="1:19" ht="42.75" x14ac:dyDescent="0.25">
      <c r="A20" s="95"/>
      <c r="B20" s="16" t="s">
        <v>147</v>
      </c>
      <c r="C20" s="13"/>
      <c r="D20" s="61"/>
      <c r="E20" s="54"/>
      <c r="F20" s="54"/>
      <c r="G20" s="54"/>
      <c r="H20" s="54"/>
      <c r="I20" s="54"/>
      <c r="J20" s="54"/>
      <c r="K20" s="54"/>
      <c r="L20" s="54"/>
      <c r="M20" s="54"/>
      <c r="N20" s="11"/>
      <c r="O20" s="11"/>
      <c r="P20" s="11"/>
      <c r="Q20" s="11"/>
      <c r="R20" s="11"/>
      <c r="S20" s="11"/>
    </row>
    <row r="21" spans="1:19" ht="51" x14ac:dyDescent="0.25">
      <c r="A21" s="95" t="s">
        <v>79</v>
      </c>
      <c r="B21" s="44" t="s">
        <v>17</v>
      </c>
      <c r="C21" s="17" t="s">
        <v>9</v>
      </c>
      <c r="D21" s="61">
        <f t="shared" ref="D21:D23" si="3">SUM(E21:M21)</f>
        <v>326.64999999999998</v>
      </c>
      <c r="E21" s="108">
        <f>12.36*3</f>
        <v>37.08</v>
      </c>
      <c r="F21" s="108">
        <f>15.17*3+16.71+3.35</f>
        <v>65.569999999999993</v>
      </c>
      <c r="G21" s="108">
        <f>12.36*3</f>
        <v>37.08</v>
      </c>
      <c r="H21" s="108">
        <f>12.36*3</f>
        <v>37.08</v>
      </c>
      <c r="I21" s="108">
        <f>6.18*3</f>
        <v>18.54</v>
      </c>
      <c r="J21" s="108">
        <f>12.36*3</f>
        <v>37.08</v>
      </c>
      <c r="K21" s="108">
        <f>6.18*3+7.48+4.9</f>
        <v>30.92</v>
      </c>
      <c r="L21" s="108">
        <f>10.55*3</f>
        <v>31.650000000000002</v>
      </c>
      <c r="M21" s="108">
        <f>10.55*3</f>
        <v>31.650000000000002</v>
      </c>
      <c r="N21" s="11"/>
      <c r="O21" s="11"/>
      <c r="P21" s="11"/>
      <c r="Q21" s="11"/>
      <c r="R21" s="11"/>
      <c r="S21" s="11"/>
    </row>
    <row r="22" spans="1:19" ht="51" x14ac:dyDescent="0.25">
      <c r="A22" s="95" t="s">
        <v>80</v>
      </c>
      <c r="B22" s="44" t="s">
        <v>18</v>
      </c>
      <c r="C22" s="17" t="s">
        <v>9</v>
      </c>
      <c r="D22" s="61">
        <f t="shared" si="3"/>
        <v>326.64999999999998</v>
      </c>
      <c r="E22" s="108">
        <f>E21</f>
        <v>37.08</v>
      </c>
      <c r="F22" s="108">
        <f t="shared" ref="F22:M22" si="4">F21</f>
        <v>65.569999999999993</v>
      </c>
      <c r="G22" s="108">
        <f t="shared" si="4"/>
        <v>37.08</v>
      </c>
      <c r="H22" s="108">
        <f t="shared" si="4"/>
        <v>37.08</v>
      </c>
      <c r="I22" s="108">
        <f t="shared" si="4"/>
        <v>18.54</v>
      </c>
      <c r="J22" s="108">
        <f t="shared" si="4"/>
        <v>37.08</v>
      </c>
      <c r="K22" s="108">
        <f t="shared" si="4"/>
        <v>30.92</v>
      </c>
      <c r="L22" s="108">
        <f t="shared" si="4"/>
        <v>31.650000000000002</v>
      </c>
      <c r="M22" s="108">
        <f t="shared" si="4"/>
        <v>31.650000000000002</v>
      </c>
      <c r="N22" s="11"/>
      <c r="O22" s="11"/>
      <c r="P22" s="11"/>
      <c r="Q22" s="11"/>
      <c r="R22" s="11"/>
      <c r="S22" s="19" t="s">
        <v>62</v>
      </c>
    </row>
    <row r="23" spans="1:19" ht="25.5" x14ac:dyDescent="0.25">
      <c r="A23" s="95" t="s">
        <v>81</v>
      </c>
      <c r="B23" s="44" t="s">
        <v>19</v>
      </c>
      <c r="C23" s="13" t="s">
        <v>15</v>
      </c>
      <c r="D23" s="61">
        <f t="shared" si="3"/>
        <v>238.55999999999997</v>
      </c>
      <c r="E23" s="108">
        <f>2.46+4.54+2.76+(2.46+0.97*2+2.76)*2</f>
        <v>24.08</v>
      </c>
      <c r="F23" s="108">
        <f>2.48+5.52+2.76+2.46*2+1.47*2*2+2.76*2+2.76+1.47*2+3.96+0.58+1.69*2+5.2+1.3</f>
        <v>47.199999999999996</v>
      </c>
      <c r="G23" s="108">
        <f t="shared" ref="G23:H23" si="5">2.46+4.54+2.76+(2.46+0.97*2+2.76)*2</f>
        <v>24.08</v>
      </c>
      <c r="H23" s="108">
        <f t="shared" si="5"/>
        <v>24.08</v>
      </c>
      <c r="I23" s="108">
        <f>10.28*3-(3.22+3.22*2+1.4*2)</f>
        <v>18.379999999999995</v>
      </c>
      <c r="J23" s="108">
        <f>2.46+4.54+2.76+(2.46+0.97*2+2.76)*2</f>
        <v>24.08</v>
      </c>
      <c r="K23" s="108">
        <f>10.28*3+12.08-(3.22*4+1.4*3+0.8)+3.49*2+1.4</f>
        <v>33.419999999999995</v>
      </c>
      <c r="L23" s="108">
        <f>14*3-(1.24*3+0.1*3+2.08*3+0.4*3+1.24*3+2.6*2)</f>
        <v>21.62</v>
      </c>
      <c r="M23" s="108">
        <f>14*3-(1.24*3+0.1*3+2.08*3+0.4*3+1.24*3+2.6*2)</f>
        <v>21.62</v>
      </c>
      <c r="N23" s="11"/>
      <c r="O23" s="11"/>
      <c r="P23" s="11"/>
      <c r="Q23" s="11"/>
      <c r="R23" s="11"/>
      <c r="S23" s="38" t="s">
        <v>54</v>
      </c>
    </row>
    <row r="24" spans="1:19" x14ac:dyDescent="0.25">
      <c r="A24" s="95"/>
      <c r="B24" s="18" t="s">
        <v>20</v>
      </c>
      <c r="C24" s="13"/>
      <c r="D24" s="61"/>
      <c r="E24" s="55"/>
      <c r="F24" s="55"/>
      <c r="G24" s="55"/>
      <c r="H24" s="55"/>
      <c r="I24" s="55"/>
      <c r="J24" s="55"/>
      <c r="K24" s="55"/>
      <c r="L24" s="55"/>
      <c r="M24" s="55"/>
      <c r="N24" s="11"/>
      <c r="O24" s="11"/>
      <c r="P24" s="11"/>
      <c r="Q24" s="11"/>
      <c r="R24" s="11"/>
      <c r="S24" s="11"/>
    </row>
    <row r="25" spans="1:19" ht="51" x14ac:dyDescent="0.25">
      <c r="A25" s="95" t="s">
        <v>82</v>
      </c>
      <c r="B25" s="44" t="s">
        <v>18</v>
      </c>
      <c r="C25" s="17" t="s">
        <v>9</v>
      </c>
      <c r="D25" s="61">
        <f t="shared" ref="D25:D26" si="6">SUM(E25:M25)</f>
        <v>390.75600000000003</v>
      </c>
      <c r="E25" s="108">
        <f>3.88*1.2+(4.81+5.28)*1.2*3</f>
        <v>40.98</v>
      </c>
      <c r="F25" s="108">
        <f>3.88*1.2+(4.81+5.28)*1.2*3+3*1.2+4*1.2</f>
        <v>49.379999999999995</v>
      </c>
      <c r="G25" s="108">
        <f t="shared" ref="G25:H25" si="7">3.88*1.2+(4.81+5.28)*1.2*3</f>
        <v>40.98</v>
      </c>
      <c r="H25" s="108">
        <f t="shared" si="7"/>
        <v>40.98</v>
      </c>
      <c r="I25" s="108">
        <f>3.88*1.2+(4.81+5.28)*1.2*3+3.91*1.2</f>
        <v>45.671999999999997</v>
      </c>
      <c r="J25" s="108">
        <f>3.88*1.2+(4.81+5.28)*1.2*3</f>
        <v>40.98</v>
      </c>
      <c r="K25" s="108">
        <f>3.88*1.2+(4.81+5.28)*1.2*3+3.46*1.2+3.91*1.2</f>
        <v>49.823999999999998</v>
      </c>
      <c r="L25" s="108">
        <f t="shared" ref="L25:M25" si="8">3.88*1.2+(4.81+5.28)*1.2*3</f>
        <v>40.98</v>
      </c>
      <c r="M25" s="108">
        <f t="shared" si="8"/>
        <v>40.98</v>
      </c>
      <c r="N25" s="11"/>
      <c r="O25" s="11"/>
      <c r="P25" s="11"/>
      <c r="Q25" s="11"/>
      <c r="R25" s="11"/>
      <c r="S25" s="19" t="s">
        <v>62</v>
      </c>
    </row>
    <row r="26" spans="1:19" ht="25.5" x14ac:dyDescent="0.25">
      <c r="A26" s="95" t="s">
        <v>83</v>
      </c>
      <c r="B26" s="44" t="s">
        <v>21</v>
      </c>
      <c r="C26" s="13" t="s">
        <v>15</v>
      </c>
      <c r="D26" s="61">
        <f t="shared" si="6"/>
        <v>325.62999999999994</v>
      </c>
      <c r="E26" s="108">
        <f>3.88+4.81*3+5.28*3</f>
        <v>34.15</v>
      </c>
      <c r="F26" s="108">
        <f>3.88+4.81*3+5.28*3+3+4</f>
        <v>41.15</v>
      </c>
      <c r="G26" s="108">
        <f t="shared" ref="G26:H26" si="9">3.88+4.81*3+5.28*3</f>
        <v>34.15</v>
      </c>
      <c r="H26" s="108">
        <f t="shared" si="9"/>
        <v>34.15</v>
      </c>
      <c r="I26" s="108">
        <f>3.88+4.81*3+5.28*3+3.91</f>
        <v>38.06</v>
      </c>
      <c r="J26" s="108">
        <f>3.88+4.81*3+5.28*3</f>
        <v>34.15</v>
      </c>
      <c r="K26" s="108">
        <f>3.88+4.81*3+5.28*3+3.46+3.91</f>
        <v>41.519999999999996</v>
      </c>
      <c r="L26" s="108">
        <f t="shared" ref="L26:M26" si="10">3.88+4.81*3+5.28*3</f>
        <v>34.15</v>
      </c>
      <c r="M26" s="108">
        <f t="shared" si="10"/>
        <v>34.15</v>
      </c>
      <c r="N26" s="11"/>
      <c r="O26" s="11"/>
      <c r="P26" s="11"/>
      <c r="Q26" s="11"/>
      <c r="R26" s="11"/>
      <c r="S26" s="38" t="s">
        <v>54</v>
      </c>
    </row>
    <row r="27" spans="1:19" hidden="1" x14ac:dyDescent="0.25">
      <c r="A27" s="95"/>
      <c r="B27" s="18" t="s">
        <v>87</v>
      </c>
      <c r="C27" s="13"/>
      <c r="D27" s="61"/>
      <c r="E27" s="54"/>
      <c r="F27" s="54"/>
      <c r="G27" s="54"/>
      <c r="H27" s="54"/>
      <c r="I27" s="54"/>
      <c r="J27" s="54"/>
      <c r="K27" s="54"/>
      <c r="L27" s="54"/>
      <c r="M27" s="54"/>
      <c r="N27" s="11"/>
      <c r="O27" s="11"/>
      <c r="P27" s="11"/>
      <c r="Q27" s="11"/>
      <c r="R27" s="11"/>
      <c r="S27" s="11"/>
    </row>
    <row r="28" spans="1:19" ht="51" hidden="1" x14ac:dyDescent="0.25">
      <c r="A28" s="95" t="s">
        <v>84</v>
      </c>
      <c r="B28" s="44" t="s">
        <v>22</v>
      </c>
      <c r="C28" s="17" t="s">
        <v>9</v>
      </c>
      <c r="D28" s="63">
        <f>E28+M28</f>
        <v>3.2</v>
      </c>
      <c r="E28" s="76">
        <v>3.2</v>
      </c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</row>
    <row r="29" spans="1:19" ht="51" hidden="1" x14ac:dyDescent="0.25">
      <c r="A29" s="95" t="s">
        <v>85</v>
      </c>
      <c r="B29" s="44" t="s">
        <v>18</v>
      </c>
      <c r="C29" s="17" t="s">
        <v>9</v>
      </c>
      <c r="D29" s="63">
        <f t="shared" ref="D29:D30" si="11">E29+M29</f>
        <v>3.2</v>
      </c>
      <c r="E29" s="76">
        <v>3.2</v>
      </c>
      <c r="F29" s="76"/>
      <c r="G29" s="76"/>
      <c r="H29" s="76"/>
      <c r="I29" s="76"/>
      <c r="J29" s="76"/>
      <c r="K29" s="76"/>
      <c r="L29" s="76"/>
      <c r="M29" s="76"/>
      <c r="N29" s="77"/>
      <c r="O29" s="77"/>
      <c r="P29" s="77"/>
      <c r="Q29" s="77"/>
      <c r="R29" s="77"/>
      <c r="S29" s="19" t="s">
        <v>62</v>
      </c>
    </row>
    <row r="30" spans="1:19" s="20" customFormat="1" ht="42" hidden="1" customHeight="1" x14ac:dyDescent="0.25">
      <c r="A30" s="95" t="s">
        <v>86</v>
      </c>
      <c r="B30" s="19" t="s">
        <v>52</v>
      </c>
      <c r="C30" s="17" t="s">
        <v>23</v>
      </c>
      <c r="D30" s="63">
        <f t="shared" si="11"/>
        <v>5.5</v>
      </c>
      <c r="E30" s="76">
        <v>5.5</v>
      </c>
      <c r="F30" s="76"/>
      <c r="G30" s="76"/>
      <c r="H30" s="76"/>
      <c r="I30" s="76"/>
      <c r="J30" s="76"/>
      <c r="K30" s="76"/>
      <c r="L30" s="76"/>
      <c r="M30" s="76"/>
      <c r="N30" s="77"/>
      <c r="O30" s="77"/>
      <c r="P30" s="77"/>
      <c r="Q30" s="77"/>
      <c r="R30" s="77"/>
      <c r="S30" s="49" t="s">
        <v>54</v>
      </c>
    </row>
    <row r="31" spans="1:19" s="20" customFormat="1" ht="15" customHeight="1" x14ac:dyDescent="0.2">
      <c r="A31" s="28">
        <v>4</v>
      </c>
      <c r="B31" s="21" t="s">
        <v>24</v>
      </c>
      <c r="C31" s="22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4"/>
      <c r="O31" s="4"/>
      <c r="P31" s="4"/>
      <c r="Q31" s="4"/>
      <c r="R31" s="4"/>
      <c r="S31" s="4"/>
    </row>
    <row r="32" spans="1:19" s="20" customFormat="1" ht="58.5" customHeight="1" x14ac:dyDescent="0.2">
      <c r="A32" s="102"/>
      <c r="B32" s="18" t="s">
        <v>88</v>
      </c>
      <c r="C32" s="23"/>
      <c r="D32" s="64"/>
      <c r="E32" s="54"/>
      <c r="F32" s="54"/>
      <c r="G32" s="54"/>
      <c r="H32" s="54"/>
      <c r="I32" s="54"/>
      <c r="J32" s="54"/>
      <c r="K32" s="54"/>
      <c r="L32" s="54"/>
      <c r="M32" s="54"/>
      <c r="N32" s="23"/>
      <c r="O32" s="24"/>
      <c r="P32" s="24"/>
      <c r="Q32" s="24"/>
      <c r="R32" s="24"/>
      <c r="S32" s="24"/>
    </row>
    <row r="33" spans="1:19" s="20" customFormat="1" x14ac:dyDescent="0.2">
      <c r="A33" s="102" t="s">
        <v>89</v>
      </c>
      <c r="B33" s="44" t="s">
        <v>58</v>
      </c>
      <c r="C33" s="17" t="s">
        <v>9</v>
      </c>
      <c r="D33" s="61">
        <f t="shared" ref="D33:D35" si="12">SUM(E33:M33)</f>
        <v>2537.0992000000001</v>
      </c>
      <c r="E33" s="108">
        <f>44.7*4+6.06*4.54+12.36*3+(2.41+(3.66+0.09)*3+(3.32+0.09)*3)*1.2</f>
        <v>272.06040000000002</v>
      </c>
      <c r="F33" s="108">
        <f>54.88*4+3.45*6.35+15.17*3+16.71+5.52*6.16+(2.41+(3.66+0.09)*3+(3.32+0.09)*3+2.07)*1.2</f>
        <v>368.80269999999996</v>
      </c>
      <c r="G33" s="108">
        <f>25.27*4+4.54*6.28+12.36*3+(2.41+(3.66+0.09)*3+(3.32+0.09)*3)*1.2</f>
        <v>195.33920000000001</v>
      </c>
      <c r="H33" s="108">
        <f>48.22*4+4.54*6.28+12.36*3+(2.41+(3.66+0.09)*3+(3.32+0.09)*3)*1.2</f>
        <v>287.13920000000002</v>
      </c>
      <c r="I33" s="108">
        <f>65.43+64.85*3+5.15*6.85+6.18*3+3.22*5.22+(2.41+(3.66+0.09)*3+(3.32+0.09)*3)*1.2</f>
        <v>359.27390000000008</v>
      </c>
      <c r="J33" s="108">
        <f>46.21*4+4.54*6.24+12.36*3+(2.41+(3.66+0.09)*3+(3.32+0.09)*3)*1.2</f>
        <v>278.91759999999999</v>
      </c>
      <c r="K33" s="108">
        <f>65.31+64.88*3+3.2*5.28+6.46*4.69+6.18*3+7.48+(2.41+(3.66+0.09)*3+(3.32+0.09)*3+2.4)*1.2</f>
        <v>364.71140000000003</v>
      </c>
      <c r="L33" s="108">
        <f>38.86*4+10.55*3+4.49*5.88+(2.41+(3.66+0.09)*3+(3.32+0.09)*3)*1.2</f>
        <v>242.1592</v>
      </c>
      <c r="M33" s="108">
        <f>20.45*4+10.55*3+4.52*5.88+(2.41+(3.66+0.09)*3+(3.32+0.09)*3)*1.2</f>
        <v>168.69560000000001</v>
      </c>
      <c r="N33" s="25"/>
      <c r="O33" s="24"/>
      <c r="P33" s="24"/>
      <c r="Q33" s="24"/>
      <c r="R33" s="24"/>
      <c r="S33" s="24"/>
    </row>
    <row r="34" spans="1:19" s="20" customFormat="1" x14ac:dyDescent="0.2">
      <c r="A34" s="102" t="s">
        <v>90</v>
      </c>
      <c r="B34" s="44" t="s">
        <v>25</v>
      </c>
      <c r="C34" s="17" t="s">
        <v>9</v>
      </c>
      <c r="D34" s="61">
        <f t="shared" si="12"/>
        <v>2537.0992000000001</v>
      </c>
      <c r="E34" s="108">
        <f>44.7*4+6.06*4.54+12.36*3+(2.41+(3.66+0.09)*3+(3.32+0.09)*3)*1.2</f>
        <v>272.06040000000002</v>
      </c>
      <c r="F34" s="108">
        <f>54.88*4+3.45*6.35+15.17*3+16.71+5.52*6.16+(2.41+(3.66+0.09)*3+(3.32+0.09)*3+2.07)*1.2</f>
        <v>368.80269999999996</v>
      </c>
      <c r="G34" s="108">
        <f>25.27*4+4.54*6.28+12.36*3+(2.41+(3.66+0.09)*3+(3.32+0.09)*3)*1.2</f>
        <v>195.33920000000001</v>
      </c>
      <c r="H34" s="108">
        <f>48.22*4+4.54*6.28+12.36*3+(2.41+(3.66+0.09)*3+(3.32+0.09)*3)*1.2</f>
        <v>287.13920000000002</v>
      </c>
      <c r="I34" s="108">
        <f>65.43+64.85*3+5.15*6.85+6.18*3+3.22*5.22+(2.41+(3.66+0.09)*3+(3.32+0.09)*3)*1.2</f>
        <v>359.27390000000008</v>
      </c>
      <c r="J34" s="108">
        <f>46.21*4+4.54*6.24+12.36*3+(2.41+(3.66+0.09)*3+(3.32+0.09)*3)*1.2</f>
        <v>278.91759999999999</v>
      </c>
      <c r="K34" s="108">
        <f>65.31+64.88*3+3.2*5.28+6.46*4.69+6.18*3+7.48+(2.41+(3.66+0.09)*3+(3.32+0.09)*3+2.4)*1.2</f>
        <v>364.71140000000003</v>
      </c>
      <c r="L34" s="108">
        <f>38.86*4+10.55*3+4.49*5.88+(2.41+(3.66+0.09)*3+(3.32+0.09)*3)*1.2</f>
        <v>242.1592</v>
      </c>
      <c r="M34" s="108">
        <f>20.45*4+10.55*3+4.52*5.88+(2.41+(3.66+0.09)*3+(3.32+0.09)*3)*1.2</f>
        <v>168.69560000000001</v>
      </c>
      <c r="N34" s="26"/>
      <c r="O34" s="24"/>
      <c r="P34" s="24"/>
      <c r="Q34" s="24"/>
      <c r="R34" s="24"/>
      <c r="S34" s="24"/>
    </row>
    <row r="35" spans="1:19" s="20" customFormat="1" ht="30" customHeight="1" x14ac:dyDescent="0.2">
      <c r="A35" s="102" t="s">
        <v>91</v>
      </c>
      <c r="B35" s="44" t="s">
        <v>26</v>
      </c>
      <c r="C35" s="17" t="s">
        <v>9</v>
      </c>
      <c r="D35" s="61">
        <f t="shared" si="12"/>
        <v>2537.0992000000001</v>
      </c>
      <c r="E35" s="108">
        <f>E34</f>
        <v>272.06040000000002</v>
      </c>
      <c r="F35" s="108">
        <f t="shared" ref="F35:M35" si="13">F34</f>
        <v>368.80269999999996</v>
      </c>
      <c r="G35" s="108">
        <f t="shared" si="13"/>
        <v>195.33920000000001</v>
      </c>
      <c r="H35" s="108">
        <f t="shared" si="13"/>
        <v>287.13920000000002</v>
      </c>
      <c r="I35" s="108">
        <f t="shared" si="13"/>
        <v>359.27390000000008</v>
      </c>
      <c r="J35" s="108">
        <f t="shared" si="13"/>
        <v>278.91759999999999</v>
      </c>
      <c r="K35" s="108">
        <f t="shared" si="13"/>
        <v>364.71140000000003</v>
      </c>
      <c r="L35" s="108">
        <f t="shared" si="13"/>
        <v>242.1592</v>
      </c>
      <c r="M35" s="108">
        <f t="shared" si="13"/>
        <v>168.69560000000001</v>
      </c>
      <c r="N35" s="24"/>
      <c r="O35" s="24"/>
      <c r="P35" s="24"/>
      <c r="Q35" s="24"/>
      <c r="R35" s="24"/>
      <c r="S35" s="48" t="s">
        <v>56</v>
      </c>
    </row>
    <row r="36" spans="1:19" ht="46.5" customHeight="1" x14ac:dyDescent="0.25">
      <c r="A36" s="102" t="s">
        <v>92</v>
      </c>
      <c r="B36" s="47" t="s">
        <v>27</v>
      </c>
      <c r="C36" s="23"/>
      <c r="D36" s="64"/>
      <c r="E36" s="54"/>
      <c r="F36" s="54"/>
      <c r="G36" s="54"/>
      <c r="H36" s="54"/>
      <c r="I36" s="54"/>
      <c r="J36" s="54"/>
      <c r="K36" s="54"/>
      <c r="L36" s="54"/>
      <c r="M36" s="54"/>
      <c r="N36" s="23"/>
      <c r="O36" s="23"/>
      <c r="P36" s="23"/>
      <c r="Q36" s="23"/>
      <c r="R36" s="23"/>
      <c r="S36" s="11"/>
    </row>
    <row r="37" spans="1:19" x14ac:dyDescent="0.25">
      <c r="A37" s="102" t="s">
        <v>93</v>
      </c>
      <c r="B37" s="44" t="s">
        <v>28</v>
      </c>
      <c r="C37" s="17" t="s">
        <v>9</v>
      </c>
      <c r="D37" s="61">
        <f t="shared" ref="D37:D38" si="14">SUM(E37:M37)</f>
        <v>76.152000000000001</v>
      </c>
      <c r="E37" s="108">
        <f>0.6+0.78*3+0.85*3+2.6*0.2*2+1.33*0.2+2.09*0.2*3</f>
        <v>8.0500000000000007</v>
      </c>
      <c r="F37" s="108">
        <f>0.6+0.78*3+0.85*3+0.48+0.82*4*0.2+3.04*0.2*3+2.6*0.2*3+(4.3+1.2)*0.2+0.61</f>
        <v>11.72</v>
      </c>
      <c r="G37" s="108">
        <f>0.6+0.78*3+0.85*3+2.09*0.2*3+2.6*0.2*2+1.33*0.2</f>
        <v>8.0500000000000007</v>
      </c>
      <c r="H37" s="108">
        <f>0.6+0.78*3+0.85*3+2.09*0.2*3+0.2*0.2*4+2.6*0.2*2+1.33*0.2</f>
        <v>8.2100000000000009</v>
      </c>
      <c r="I37" s="108">
        <f>0.6+0.78*3+0.85*3+0.6+0.78*0.2*3*2+1.4*0.2*2+2*0.2</f>
        <v>7.9859999999999998</v>
      </c>
      <c r="J37" s="108">
        <f>0.6+0.78*3+0.85*3+2.09*0.2*3+2.6*0.2*2+1.33*0.2</f>
        <v>8.0500000000000007</v>
      </c>
      <c r="K37" s="108">
        <f>0.6+0.78*3+0.85*3+0.6+0.78*0.2*3*2+1.4*0.2*2+2*0.2</f>
        <v>7.9859999999999998</v>
      </c>
      <c r="L37" s="108">
        <f t="shared" ref="L37:M37" si="15">0.6+0.78*3+0.85*3+2.09*0.2*3+2.6*0.2*2+1.33*0.2</f>
        <v>8.0500000000000007</v>
      </c>
      <c r="M37" s="108">
        <f t="shared" si="15"/>
        <v>8.0500000000000007</v>
      </c>
      <c r="N37" s="11"/>
      <c r="O37" s="11"/>
      <c r="P37" s="11"/>
      <c r="Q37" s="11"/>
      <c r="R37" s="11"/>
      <c r="S37" s="11"/>
    </row>
    <row r="38" spans="1:19" ht="38.25" x14ac:dyDescent="0.25">
      <c r="A38" s="102" t="s">
        <v>94</v>
      </c>
      <c r="B38" s="46" t="s">
        <v>51</v>
      </c>
      <c r="C38" s="17" t="s">
        <v>9</v>
      </c>
      <c r="D38" s="61">
        <f t="shared" si="14"/>
        <v>76.152000000000001</v>
      </c>
      <c r="E38" s="108">
        <f>E37</f>
        <v>8.0500000000000007</v>
      </c>
      <c r="F38" s="108">
        <f t="shared" ref="F38:M38" si="16">F37</f>
        <v>11.72</v>
      </c>
      <c r="G38" s="108">
        <f t="shared" si="16"/>
        <v>8.0500000000000007</v>
      </c>
      <c r="H38" s="108">
        <f t="shared" si="16"/>
        <v>8.2100000000000009</v>
      </c>
      <c r="I38" s="108">
        <f t="shared" si="16"/>
        <v>7.9859999999999998</v>
      </c>
      <c r="J38" s="108">
        <f t="shared" si="16"/>
        <v>8.0500000000000007</v>
      </c>
      <c r="K38" s="108">
        <f t="shared" si="16"/>
        <v>7.9859999999999998</v>
      </c>
      <c r="L38" s="108">
        <f t="shared" si="16"/>
        <v>8.0500000000000007</v>
      </c>
      <c r="M38" s="108">
        <f t="shared" si="16"/>
        <v>8.0500000000000007</v>
      </c>
      <c r="N38" s="11"/>
      <c r="O38" s="11"/>
      <c r="P38" s="11"/>
      <c r="Q38" s="11"/>
      <c r="R38" s="11"/>
      <c r="S38" s="46" t="s">
        <v>61</v>
      </c>
    </row>
    <row r="39" spans="1:19" x14ac:dyDescent="0.25">
      <c r="A39" s="28">
        <v>5</v>
      </c>
      <c r="B39" s="21" t="s">
        <v>30</v>
      </c>
      <c r="C39" s="29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5"/>
      <c r="O39" s="5"/>
      <c r="P39" s="5"/>
      <c r="Q39" s="5"/>
      <c r="R39" s="5"/>
      <c r="S39" s="5"/>
    </row>
    <row r="40" spans="1:19" s="20" customFormat="1" x14ac:dyDescent="0.2">
      <c r="A40" s="30"/>
      <c r="B40" s="31" t="s">
        <v>64</v>
      </c>
      <c r="C40" s="17"/>
      <c r="D40" s="62"/>
      <c r="E40" s="54"/>
      <c r="F40" s="54"/>
      <c r="G40" s="54"/>
      <c r="H40" s="54"/>
      <c r="I40" s="54"/>
      <c r="J40" s="54"/>
      <c r="K40" s="54"/>
      <c r="L40" s="54"/>
      <c r="M40" s="54"/>
      <c r="N40" s="17"/>
      <c r="O40" s="17"/>
      <c r="P40" s="19"/>
      <c r="Q40" s="19"/>
      <c r="R40" s="19"/>
      <c r="S40" s="19"/>
    </row>
    <row r="41" spans="1:19" s="20" customFormat="1" ht="25.5" x14ac:dyDescent="0.2">
      <c r="A41" s="103" t="s">
        <v>102</v>
      </c>
      <c r="B41" s="45" t="s">
        <v>31</v>
      </c>
      <c r="C41" s="30" t="s">
        <v>9</v>
      </c>
      <c r="D41" s="61">
        <f t="shared" ref="D41:D45" si="17">SUM(E41:M41)</f>
        <v>2728.9968999999992</v>
      </c>
      <c r="E41" s="114">
        <f>123.67-2.2*5+51.27*2+27.21*2+0.97*2*10.16+0.49*4.54+0.39*4.54-(0.6+0.78*3+0.85*3+(2.46+2.76)*3*0.2)</f>
        <v>284.71359999999999</v>
      </c>
      <c r="F41" s="114">
        <f>123.67-2.2*5+(3.45+6.19)*4.07*2-(1.4*2.1+1.35*2.99+0.61)+43.1*2+33.42*2+0.87*1.2+5.52*0.5+10.16*(1.46+1.46)-(0.48+0.6+0.78*3+0.85*3+2.95*0.2*2+4.06*0.2+2.76*0.2*3+1.46*2*0.2*3)</f>
        <v>358.6943</v>
      </c>
      <c r="G41" s="114">
        <f>123.67-2.2*5+50.05*2+28*2+0.5*4.54+(0.97+0.97)*10.16+0.4*4.54+1.33*1.2-(0.6+0.78*3+0.85*3+2.84*0.2*2+2.46*2*0.2+0.97*2*2*0.2)</f>
        <v>285.77639999999991</v>
      </c>
      <c r="H41" s="114">
        <f>123.67-2.2*5+50.05*2+28*2+0.5*4.54+(0.97+0.97)*10.16+0.4*4.54+1.33*1.2-(0.6+0.78*3+0.85*3+2.84*0.2*2+2.46*2*0.2+0.97*2*2*0.2)</f>
        <v>285.77639999999991</v>
      </c>
      <c r="I41" s="114">
        <f>123.67-2.2*5+(3.3*2+0.9+0.8+1.2*2+0.16)*4.07+0.77*1.53+73*2+1.85*4.07+3.22*14.18-(0.6+0.78*3+0.85*3+14.3+1.4*2.1+2.04*0.2*3+3.22*0.2*3)</f>
        <v>331.35140000000001</v>
      </c>
      <c r="J41" s="114">
        <f>123.67-2.2*5+50.05*2+28*2+0.5*4.49+(0.97+0.97)*10.16+0.4*4.49+1.33*1.2-(0.6+0.78*3+0.85*3+2.84*0.2*2+2.46*2*0.2+0.97*2*2*0.2)</f>
        <v>285.73139999999995</v>
      </c>
      <c r="K41" s="114">
        <f>123.67-2.2*5+12.56*2+4.07*4.69+(1.2*2+0.16)*4.07-(1.5*2.1+1.99*4.07)+0.6+72.9*2+14.02*3.22+0.6*1.2-(14.3+2.88+2.02*5*0.2+2.93*0.2+3.22*4*0.2+0.55)</f>
        <v>325.40060000000005</v>
      </c>
      <c r="L41" s="114">
        <f>123.67-2.2*5+50.05*2+28*2+0.5*4.54+(0.97+0.97)*10.16+0.4*4.54+1.33*1.2-(0.6+0.78*3+0.85*3+2.84*0.2*2+2.46*2*0.2+0.97*2*2*0.2)</f>
        <v>285.77639999999991</v>
      </c>
      <c r="M41" s="114">
        <f>123.67-2.2*5+50.05*2+28*2+0.5*4.54+(0.97+0.97)*10.16+0.4*4.54+1.33*1.2-(0.6+0.78*3+0.85*3+2.84*0.2*2+2.46*2*0.2+0.97*2*2*0.2)</f>
        <v>285.77639999999991</v>
      </c>
      <c r="N41" s="19"/>
      <c r="O41" s="19"/>
      <c r="P41" s="19"/>
      <c r="Q41" s="19"/>
      <c r="R41" s="19"/>
      <c r="S41" s="19"/>
    </row>
    <row r="42" spans="1:19" s="20" customFormat="1" x14ac:dyDescent="0.2">
      <c r="A42" s="103" t="s">
        <v>104</v>
      </c>
      <c r="B42" s="45" t="s">
        <v>32</v>
      </c>
      <c r="C42" s="32" t="s">
        <v>9</v>
      </c>
      <c r="D42" s="61">
        <f t="shared" si="17"/>
        <v>2728.9968999999992</v>
      </c>
      <c r="E42" s="114">
        <f>E41</f>
        <v>284.71359999999999</v>
      </c>
      <c r="F42" s="114">
        <f t="shared" ref="F42:M42" si="18">F41</f>
        <v>358.6943</v>
      </c>
      <c r="G42" s="114">
        <f t="shared" si="18"/>
        <v>285.77639999999991</v>
      </c>
      <c r="H42" s="114">
        <f t="shared" si="18"/>
        <v>285.77639999999991</v>
      </c>
      <c r="I42" s="114">
        <f t="shared" si="18"/>
        <v>331.35140000000001</v>
      </c>
      <c r="J42" s="114">
        <f t="shared" si="18"/>
        <v>285.73139999999995</v>
      </c>
      <c r="K42" s="114">
        <f t="shared" si="18"/>
        <v>325.40060000000005</v>
      </c>
      <c r="L42" s="114">
        <f t="shared" si="18"/>
        <v>285.77639999999991</v>
      </c>
      <c r="M42" s="114">
        <f t="shared" si="18"/>
        <v>285.77639999999991</v>
      </c>
      <c r="N42" s="19"/>
      <c r="O42" s="19"/>
      <c r="P42" s="19"/>
      <c r="Q42" s="19"/>
      <c r="R42" s="19"/>
      <c r="S42" s="19"/>
    </row>
    <row r="43" spans="1:19" s="20" customFormat="1" ht="25.5" x14ac:dyDescent="0.2">
      <c r="A43" s="103" t="s">
        <v>105</v>
      </c>
      <c r="B43" s="45" t="s">
        <v>29</v>
      </c>
      <c r="C43" s="30" t="s">
        <v>9</v>
      </c>
      <c r="D43" s="61">
        <f t="shared" si="17"/>
        <v>2728.9968999999992</v>
      </c>
      <c r="E43" s="114">
        <f>E41</f>
        <v>284.71359999999999</v>
      </c>
      <c r="F43" s="114">
        <f t="shared" ref="F43:M43" si="19">F41</f>
        <v>358.6943</v>
      </c>
      <c r="G43" s="114">
        <f t="shared" si="19"/>
        <v>285.77639999999991</v>
      </c>
      <c r="H43" s="114">
        <f t="shared" si="19"/>
        <v>285.77639999999991</v>
      </c>
      <c r="I43" s="114">
        <f t="shared" si="19"/>
        <v>331.35140000000001</v>
      </c>
      <c r="J43" s="114">
        <f t="shared" si="19"/>
        <v>285.73139999999995</v>
      </c>
      <c r="K43" s="114">
        <f t="shared" si="19"/>
        <v>325.40060000000005</v>
      </c>
      <c r="L43" s="114">
        <f t="shared" si="19"/>
        <v>285.77639999999991</v>
      </c>
      <c r="M43" s="114">
        <f t="shared" si="19"/>
        <v>285.77639999999991</v>
      </c>
      <c r="N43" s="19"/>
      <c r="O43" s="19"/>
      <c r="P43" s="19"/>
      <c r="Q43" s="19"/>
      <c r="R43" s="19"/>
      <c r="S43" s="19"/>
    </row>
    <row r="44" spans="1:19" s="20" customFormat="1" ht="38.25" x14ac:dyDescent="0.2">
      <c r="A44" s="103" t="s">
        <v>106</v>
      </c>
      <c r="B44" s="117" t="s">
        <v>142</v>
      </c>
      <c r="C44" s="116" t="s">
        <v>9</v>
      </c>
      <c r="D44" s="61">
        <f t="shared" si="17"/>
        <v>66</v>
      </c>
      <c r="E44" s="113">
        <v>6</v>
      </c>
      <c r="F44" s="113">
        <v>6</v>
      </c>
      <c r="G44" s="113">
        <v>6</v>
      </c>
      <c r="H44" s="113">
        <v>6</v>
      </c>
      <c r="I44" s="113">
        <v>12</v>
      </c>
      <c r="J44" s="113">
        <v>6</v>
      </c>
      <c r="K44" s="113">
        <v>12</v>
      </c>
      <c r="L44" s="113">
        <v>6</v>
      </c>
      <c r="M44" s="113">
        <v>6</v>
      </c>
      <c r="N44" s="19"/>
      <c r="O44" s="19"/>
      <c r="P44" s="19"/>
      <c r="Q44" s="19"/>
      <c r="R44" s="19"/>
      <c r="S44" s="115" t="s">
        <v>146</v>
      </c>
    </row>
    <row r="45" spans="1:19" s="20" customFormat="1" ht="41.25" customHeight="1" x14ac:dyDescent="0.2">
      <c r="A45" s="103" t="s">
        <v>107</v>
      </c>
      <c r="B45" s="117" t="s">
        <v>143</v>
      </c>
      <c r="C45" s="116" t="s">
        <v>9</v>
      </c>
      <c r="D45" s="61">
        <f t="shared" si="17"/>
        <v>35</v>
      </c>
      <c r="E45" s="113">
        <f>2.5*0.7*2</f>
        <v>3.5</v>
      </c>
      <c r="F45" s="113">
        <f>2.5*0.7*2</f>
        <v>3.5</v>
      </c>
      <c r="G45" s="113">
        <f t="shared" ref="G45:M45" si="20">2.5*0.7*2</f>
        <v>3.5</v>
      </c>
      <c r="H45" s="113">
        <f t="shared" si="20"/>
        <v>3.5</v>
      </c>
      <c r="I45" s="113">
        <f>2.5*0.7*3</f>
        <v>5.25</v>
      </c>
      <c r="J45" s="113">
        <f t="shared" si="20"/>
        <v>3.5</v>
      </c>
      <c r="K45" s="113">
        <f>2.5*0.7*3</f>
        <v>5.25</v>
      </c>
      <c r="L45" s="113">
        <f t="shared" si="20"/>
        <v>3.5</v>
      </c>
      <c r="M45" s="113">
        <f t="shared" si="20"/>
        <v>3.5</v>
      </c>
      <c r="N45" s="19"/>
      <c r="O45" s="19"/>
      <c r="P45" s="19"/>
      <c r="Q45" s="19"/>
      <c r="R45" s="19"/>
      <c r="S45" s="44" t="s">
        <v>56</v>
      </c>
    </row>
    <row r="46" spans="1:19" s="20" customFormat="1" x14ac:dyDescent="0.2">
      <c r="A46" s="103"/>
      <c r="B46" s="100" t="s">
        <v>96</v>
      </c>
      <c r="C46" s="30"/>
      <c r="D46" s="65"/>
      <c r="E46" s="55"/>
      <c r="F46" s="55"/>
      <c r="G46" s="55"/>
      <c r="H46" s="55"/>
      <c r="I46" s="55"/>
      <c r="J46" s="55"/>
      <c r="K46" s="55"/>
      <c r="L46" s="55"/>
      <c r="M46" s="55"/>
      <c r="N46" s="19"/>
      <c r="O46" s="19"/>
      <c r="P46" s="19"/>
      <c r="Q46" s="19"/>
      <c r="R46" s="19"/>
      <c r="S46" s="19"/>
    </row>
    <row r="47" spans="1:19" s="20" customFormat="1" x14ac:dyDescent="0.2">
      <c r="A47" s="103" t="s">
        <v>108</v>
      </c>
      <c r="B47" s="45" t="s">
        <v>97</v>
      </c>
      <c r="C47" s="30" t="s">
        <v>9</v>
      </c>
      <c r="D47" s="61">
        <f t="shared" ref="D47:D48" si="21">SUM(E47:M47)</f>
        <v>173.11940000000001</v>
      </c>
      <c r="E47" s="108">
        <f>6.06*2+0.28*4.54</f>
        <v>13.3912</v>
      </c>
      <c r="F47" s="108">
        <f>7.4*2+0.28*5.52</f>
        <v>16.345600000000001</v>
      </c>
      <c r="G47" s="108">
        <f>6.23*2+0.28*4.54</f>
        <v>13.731200000000001</v>
      </c>
      <c r="H47" s="108">
        <f>6.23*2+0.28*4.54</f>
        <v>13.731200000000001</v>
      </c>
      <c r="I47" s="108">
        <f>3.57*2*4.07+1.87*5.15</f>
        <v>38.690300000000001</v>
      </c>
      <c r="J47" s="108">
        <f>6.23*2+0.28*4.49</f>
        <v>13.717200000000002</v>
      </c>
      <c r="K47" s="108">
        <f>13.64*2+1.87*4.69</f>
        <v>36.0503</v>
      </c>
      <c r="L47" s="108">
        <f>6.23*2+0.28*4.54</f>
        <v>13.731200000000001</v>
      </c>
      <c r="M47" s="108">
        <f>6.23*2+0.28*4.54</f>
        <v>13.731200000000001</v>
      </c>
      <c r="N47" s="19"/>
      <c r="O47" s="19"/>
      <c r="P47" s="19"/>
      <c r="Q47" s="19"/>
      <c r="R47" s="19"/>
      <c r="S47" s="19"/>
    </row>
    <row r="48" spans="1:19" s="20" customFormat="1" x14ac:dyDescent="0.2">
      <c r="A48" s="103" t="s">
        <v>109</v>
      </c>
      <c r="B48" s="45" t="s">
        <v>98</v>
      </c>
      <c r="C48" s="30" t="s">
        <v>9</v>
      </c>
      <c r="D48" s="61">
        <f t="shared" si="21"/>
        <v>173.11940000000001</v>
      </c>
      <c r="E48" s="108">
        <f>E47</f>
        <v>13.3912</v>
      </c>
      <c r="F48" s="108">
        <f t="shared" ref="F48:M48" si="22">F47</f>
        <v>16.345600000000001</v>
      </c>
      <c r="G48" s="108">
        <f t="shared" si="22"/>
        <v>13.731200000000001</v>
      </c>
      <c r="H48" s="108">
        <f t="shared" si="22"/>
        <v>13.731200000000001</v>
      </c>
      <c r="I48" s="108">
        <f t="shared" si="22"/>
        <v>38.690300000000001</v>
      </c>
      <c r="J48" s="108">
        <f t="shared" si="22"/>
        <v>13.717200000000002</v>
      </c>
      <c r="K48" s="108">
        <f t="shared" si="22"/>
        <v>36.0503</v>
      </c>
      <c r="L48" s="108">
        <f t="shared" si="22"/>
        <v>13.731200000000001</v>
      </c>
      <c r="M48" s="108">
        <f t="shared" si="22"/>
        <v>13.731200000000001</v>
      </c>
      <c r="N48" s="19"/>
      <c r="O48" s="19"/>
      <c r="P48" s="19"/>
      <c r="Q48" s="19"/>
      <c r="R48" s="19"/>
      <c r="S48" s="19"/>
    </row>
    <row r="49" spans="1:19" x14ac:dyDescent="0.25">
      <c r="A49" s="103"/>
      <c r="B49" s="34" t="s">
        <v>33</v>
      </c>
      <c r="C49" s="17"/>
      <c r="D49" s="62"/>
      <c r="E49" s="54"/>
      <c r="F49" s="54"/>
      <c r="G49" s="54"/>
      <c r="H49" s="54"/>
      <c r="I49" s="54"/>
      <c r="J49" s="54"/>
      <c r="K49" s="54"/>
      <c r="L49" s="54"/>
      <c r="M49" s="54"/>
      <c r="N49" s="17"/>
      <c r="O49" s="17"/>
      <c r="P49" s="17"/>
      <c r="Q49" s="17"/>
      <c r="R49" s="17"/>
      <c r="S49" s="17"/>
    </row>
    <row r="50" spans="1:19" ht="27" customHeight="1" x14ac:dyDescent="0.25">
      <c r="A50" s="103" t="s">
        <v>110</v>
      </c>
      <c r="B50" s="45" t="s">
        <v>34</v>
      </c>
      <c r="C50" s="27" t="s">
        <v>9</v>
      </c>
      <c r="D50" s="61">
        <f t="shared" ref="D50:D52" si="23">SUM(E50:M50)</f>
        <v>4723.0466000000015</v>
      </c>
      <c r="E50" s="108">
        <f>(56.6-4.81)*2.99*3+(56.6-4.81)*4.5-(2.1*1.14*8*4)-E10-E11</f>
        <v>577.34450000000015</v>
      </c>
      <c r="F50" s="108">
        <f>(69.32-5.82)*2.99*3+(69.32-5.82)*4.5-(2.1*1.14*7+2.1*1.14*8*3+2.1*1.35)-F10-F11+(5.2+1.67)*2*2.7-1.14*2.1</f>
        <v>720.93429999999978</v>
      </c>
      <c r="G50" s="108">
        <f>(32.1-4.84)*2.99*3+(32.1-4.84)*4.5-(2.1*1.14*4*4)-G10-G11</f>
        <v>305.06780000000003</v>
      </c>
      <c r="H50" s="108">
        <f>(60-4.84)*2.99*3+(60-4.84)*4.5-(2.1*1.14*9*4)-H10-H11</f>
        <v>591.78160000000003</v>
      </c>
      <c r="I50" s="108">
        <f>(62.48-3.22-1.89)*2.99+(62.23-1.97-1.23-0.25-1.89)*2.99*2+(62.23-1.97-1.23-0.25-1.89)*4.5-(2.1*1.14*9*3+2.1*1.14*8+2.1*1.55)-I10-I11</f>
        <v>607.57690000000014</v>
      </c>
      <c r="J50" s="108">
        <f>(56.06-4.82)*2.99*3+(56.06-4.82)*4.5-(2.1*1.14*8*4)-J10-J11</f>
        <v>560.64170000000013</v>
      </c>
      <c r="K50" s="108">
        <f>(64.6-1.89-3.2)*2.99+(64.48-1.89-3.2-0.3)*2.99*2+(64.48-1.89-3.2-0.3)*4.5-(2.1*1.14*8+2.1*1.14*9*3)-K10-K11+(7.24+1.4)*2.83-1.14*2.1</f>
        <v>649.69120000000009</v>
      </c>
      <c r="L50" s="108">
        <f>(48.96-4.84)*2.99*3+(48.96-4.84)*4.5-(2.1*1.14*8*4)-L10-L11</f>
        <v>471.87440000000021</v>
      </c>
      <c r="M50" s="108">
        <f>(27.02-4.84)*2.99*3+(27.02-4.84)*4.5-(2.1*1.14*3*4)-M10-M11</f>
        <v>238.13420000000002</v>
      </c>
      <c r="N50" s="101"/>
      <c r="O50" s="17"/>
      <c r="P50" s="17"/>
      <c r="Q50" s="17"/>
      <c r="R50" s="17"/>
      <c r="S50" s="48" t="s">
        <v>57</v>
      </c>
    </row>
    <row r="51" spans="1:19" x14ac:dyDescent="0.25">
      <c r="A51" s="103" t="s">
        <v>111</v>
      </c>
      <c r="B51" s="45" t="s">
        <v>32</v>
      </c>
      <c r="C51" s="27" t="s">
        <v>9</v>
      </c>
      <c r="D51" s="61">
        <f t="shared" si="23"/>
        <v>4856.7563000000009</v>
      </c>
      <c r="E51" s="108">
        <f>(56.6-4.81)*2.99*3+(56.6-4.81)*4.5-(2.1*1.14*8*4+2.1*1*4*4+1*1*4)</f>
        <v>583.40330000000006</v>
      </c>
      <c r="F51" s="108">
        <f>(69.32-5.82)*2.99*3+(69.32-5.82)*4.5-(2.1*1.14*7+2.1*1.14*8*3+2.1*1.35+2.1*1*4+2.1*1.3*4*4+1*1*2*4)+(5.2+1.67)*2*2.7-1.14*2.1</f>
        <v>752.91999999999973</v>
      </c>
      <c r="G51" s="108">
        <f>(32.1-4.84)*2.99*3+(32.1-4.84)*4.5-(2.1*1.14*4*4+2.1*1*2*4+1*1*4)</f>
        <v>308.08820000000003</v>
      </c>
      <c r="H51" s="108">
        <f>(60-4.84)*2.99*3+(60-4.84)*4.5-(2.1*1.14*9*4+2.1*1.3*4*4+1*1*2*4)</f>
        <v>605.14120000000003</v>
      </c>
      <c r="I51" s="108">
        <f>(62.48-3.22-1.89)*2.99+(62.23-1.97-1.23-0.25-1.89)*2.99*2+(62.23-1.97-1.23-0.25-1.89)*4.5-(2.1*1.14*9*3+2.1*1.14*8+2.1*1.55+2.1*1.3*4*4+1*1*2*4)</f>
        <v>629.01850000000002</v>
      </c>
      <c r="J51" s="108">
        <f>(56.06-4.82)*2.99*3+(56.06-4.82)*4.5-(2.1*1.14*8*4+2.1*1*4*4+1*1*4)</f>
        <v>575.99480000000005</v>
      </c>
      <c r="K51" s="108">
        <f>(64.6-1.89-3.2)*2.99+(64.48-1.89-3.2-0.3)*2.99*2+(64.48-1.89-3.2-0.3)*4.5-(2.1*1.14*8+2.1*1.14*9*3+2.1*1.3*5*4+1*1*2*4)+(7.24+1.4)*2.83-1.14*2.1</f>
        <v>672.86530000000005</v>
      </c>
      <c r="L51" s="108">
        <f>(48.96-4.84)*2.99*3+(48.96-4.84)*4.5-(2.1*1.14*8*4+2.1*1*4*4+1*1*4)</f>
        <v>480.08840000000021</v>
      </c>
      <c r="M51" s="108">
        <f>(27.02-4.84)*2.99*3+(27.02-4.84)*4.5-(2.1*1.14*3*4+2.1*1*2*4+1*1*4)</f>
        <v>249.23660000000004</v>
      </c>
      <c r="N51" s="73"/>
      <c r="O51" s="11"/>
      <c r="P51" s="11"/>
      <c r="Q51" s="11"/>
      <c r="R51" s="11"/>
      <c r="S51" s="105"/>
    </row>
    <row r="52" spans="1:19" ht="25.5" x14ac:dyDescent="0.25">
      <c r="A52" s="103" t="s">
        <v>112</v>
      </c>
      <c r="B52" s="45" t="s">
        <v>35</v>
      </c>
      <c r="C52" s="27" t="s">
        <v>9</v>
      </c>
      <c r="D52" s="61">
        <f t="shared" si="23"/>
        <v>4856.7563000000009</v>
      </c>
      <c r="E52" s="108">
        <f>E51</f>
        <v>583.40330000000006</v>
      </c>
      <c r="F52" s="108">
        <f t="shared" ref="F52:M52" si="24">F51</f>
        <v>752.91999999999973</v>
      </c>
      <c r="G52" s="108">
        <f t="shared" si="24"/>
        <v>308.08820000000003</v>
      </c>
      <c r="H52" s="108">
        <f t="shared" si="24"/>
        <v>605.14120000000003</v>
      </c>
      <c r="I52" s="108">
        <f t="shared" si="24"/>
        <v>629.01850000000002</v>
      </c>
      <c r="J52" s="108">
        <f t="shared" si="24"/>
        <v>575.99480000000005</v>
      </c>
      <c r="K52" s="108">
        <f t="shared" si="24"/>
        <v>672.86530000000005</v>
      </c>
      <c r="L52" s="108">
        <f t="shared" si="24"/>
        <v>480.08840000000021</v>
      </c>
      <c r="M52" s="108">
        <f t="shared" si="24"/>
        <v>249.23660000000004</v>
      </c>
      <c r="N52" s="11"/>
      <c r="O52" s="11"/>
      <c r="P52" s="11"/>
      <c r="Q52" s="11"/>
      <c r="R52" s="11"/>
      <c r="S52" s="105"/>
    </row>
    <row r="53" spans="1:19" x14ac:dyDescent="0.25">
      <c r="A53" s="103"/>
      <c r="B53" s="33" t="s">
        <v>99</v>
      </c>
      <c r="C53" s="27"/>
      <c r="D53" s="65"/>
      <c r="E53" s="55"/>
      <c r="F53" s="55"/>
      <c r="G53" s="55"/>
      <c r="H53" s="55"/>
      <c r="I53" s="55"/>
      <c r="J53" s="55"/>
      <c r="K53" s="55"/>
      <c r="L53" s="55"/>
      <c r="M53" s="55"/>
      <c r="N53" s="11"/>
      <c r="O53" s="11"/>
      <c r="P53" s="11"/>
      <c r="Q53" s="11"/>
      <c r="R53" s="11"/>
      <c r="S53" s="105"/>
    </row>
    <row r="54" spans="1:19" x14ac:dyDescent="0.25">
      <c r="A54" s="103" t="s">
        <v>113</v>
      </c>
      <c r="B54" s="45" t="s">
        <v>100</v>
      </c>
      <c r="C54" s="30" t="s">
        <v>23</v>
      </c>
      <c r="D54" s="61">
        <f>SUM(E54:M54)</f>
        <v>2353.4800000000005</v>
      </c>
      <c r="E54" s="112">
        <f>6.3*3+6.33*3+(56.6-4.81)*4+4.54+9.7+6*2</f>
        <v>271.29000000000002</v>
      </c>
      <c r="F54" s="112">
        <f>(3.45+6.29)*2+6.3*3+6.33*3+(69.32-5.82)*4+5.52+9.7+3.01+2.95</f>
        <v>332.5499999999999</v>
      </c>
      <c r="G54" s="112">
        <f>(32.1-4.84)*4+6.3*3+6.33*3+4.54+9.7+6.01*2</f>
        <v>173.19</v>
      </c>
      <c r="H54" s="112">
        <f>(60-4.84)*4+6.3*3+6.33*3+4.54+9.7+6.01*2</f>
        <v>284.78999999999996</v>
      </c>
      <c r="I54" s="112">
        <f>5.15+3.3*2+62.48-3.2+(62.23-3.2)*3+(2.39+3.11)*2+3.22+1.2*2+0.16+5.1+6.3*3+6.33*3</f>
        <v>307.89</v>
      </c>
      <c r="J54" s="112">
        <f>(56.06-4.82)*4+6.3*3+6.33*3+4.54+9.7+6.01*2</f>
        <v>269.11</v>
      </c>
      <c r="K54" s="112">
        <f>25.6+65.6-3.2+(64.48-3.2-0.25)*3+6.3*3+6.33*3+5.28*2+3.22</f>
        <v>322.76</v>
      </c>
      <c r="L54" s="112">
        <f>(48.96-4.84)*4+6.3*3+6.33*3+9.7+5.61*2+4.54</f>
        <v>239.83</v>
      </c>
      <c r="M54" s="112">
        <f>(27.02-4.84)*4+6.3*3+6.33*3+9.7+5.61*2+4.54</f>
        <v>152.07</v>
      </c>
      <c r="N54" s="11"/>
      <c r="O54" s="11"/>
      <c r="P54" s="11"/>
      <c r="Q54" s="11"/>
      <c r="R54" s="11"/>
      <c r="S54" s="105"/>
    </row>
    <row r="55" spans="1:19" x14ac:dyDescent="0.25">
      <c r="A55" s="103"/>
      <c r="B55" s="33" t="s">
        <v>36</v>
      </c>
      <c r="C55" s="11"/>
      <c r="D55" s="78"/>
      <c r="E55" s="54"/>
      <c r="F55" s="54"/>
      <c r="G55" s="54"/>
      <c r="H55" s="54"/>
      <c r="I55" s="54"/>
      <c r="J55" s="54"/>
      <c r="K55" s="54"/>
      <c r="L55" s="54"/>
      <c r="M55" s="54"/>
      <c r="N55" s="11"/>
      <c r="O55" s="11"/>
      <c r="P55" s="11"/>
      <c r="Q55" s="11"/>
      <c r="R55" s="11"/>
      <c r="S55" s="105"/>
    </row>
    <row r="56" spans="1:19" x14ac:dyDescent="0.25">
      <c r="A56" s="103" t="s">
        <v>114</v>
      </c>
      <c r="B56" s="45" t="s">
        <v>37</v>
      </c>
      <c r="C56" s="30" t="s">
        <v>23</v>
      </c>
      <c r="D56" s="61">
        <f t="shared" ref="D56:D57" si="25">SUM(E56:M56)</f>
        <v>2353.4800000000005</v>
      </c>
      <c r="E56" s="112">
        <f>E54</f>
        <v>271.29000000000002</v>
      </c>
      <c r="F56" s="112">
        <f t="shared" ref="F56:M56" si="26">F54</f>
        <v>332.5499999999999</v>
      </c>
      <c r="G56" s="112">
        <f t="shared" si="26"/>
        <v>173.19</v>
      </c>
      <c r="H56" s="112">
        <f t="shared" si="26"/>
        <v>284.78999999999996</v>
      </c>
      <c r="I56" s="112">
        <f t="shared" si="26"/>
        <v>307.89</v>
      </c>
      <c r="J56" s="112">
        <f t="shared" si="26"/>
        <v>269.11</v>
      </c>
      <c r="K56" s="112">
        <f t="shared" si="26"/>
        <v>322.76</v>
      </c>
      <c r="L56" s="112">
        <f t="shared" si="26"/>
        <v>239.83</v>
      </c>
      <c r="M56" s="112">
        <f t="shared" si="26"/>
        <v>152.07</v>
      </c>
      <c r="N56" s="11"/>
      <c r="O56" s="11"/>
      <c r="P56" s="11"/>
      <c r="Q56" s="11"/>
      <c r="R56" s="11"/>
      <c r="S56" s="105"/>
    </row>
    <row r="57" spans="1:19" ht="25.5" x14ac:dyDescent="0.25">
      <c r="A57" s="103" t="s">
        <v>115</v>
      </c>
      <c r="B57" s="45" t="s">
        <v>38</v>
      </c>
      <c r="C57" s="30" t="s">
        <v>23</v>
      </c>
      <c r="D57" s="61">
        <f t="shared" si="25"/>
        <v>2353.4800000000005</v>
      </c>
      <c r="E57" s="112">
        <f>E56</f>
        <v>271.29000000000002</v>
      </c>
      <c r="F57" s="112">
        <f t="shared" ref="F57:M57" si="27">F56</f>
        <v>332.5499999999999</v>
      </c>
      <c r="G57" s="112">
        <f t="shared" si="27"/>
        <v>173.19</v>
      </c>
      <c r="H57" s="112">
        <f t="shared" si="27"/>
        <v>284.78999999999996</v>
      </c>
      <c r="I57" s="112">
        <f t="shared" si="27"/>
        <v>307.89</v>
      </c>
      <c r="J57" s="112">
        <f t="shared" si="27"/>
        <v>269.11</v>
      </c>
      <c r="K57" s="112">
        <f t="shared" si="27"/>
        <v>322.76</v>
      </c>
      <c r="L57" s="112">
        <f t="shared" si="27"/>
        <v>239.83</v>
      </c>
      <c r="M57" s="112">
        <f t="shared" si="27"/>
        <v>152.07</v>
      </c>
      <c r="N57" s="11"/>
      <c r="O57" s="11"/>
      <c r="P57" s="11"/>
      <c r="Q57" s="11"/>
      <c r="R57" s="11"/>
      <c r="S57" s="48" t="s">
        <v>56</v>
      </c>
    </row>
    <row r="58" spans="1:19" x14ac:dyDescent="0.25">
      <c r="A58" s="103"/>
      <c r="B58" s="33" t="s">
        <v>39</v>
      </c>
      <c r="C58" s="35"/>
      <c r="D58" s="66"/>
      <c r="E58" s="54"/>
      <c r="F58" s="54"/>
      <c r="G58" s="54"/>
      <c r="H58" s="54"/>
      <c r="I58" s="54"/>
      <c r="J58" s="54"/>
      <c r="K58" s="54"/>
      <c r="L58" s="54"/>
      <c r="M58" s="54"/>
      <c r="N58" s="11"/>
      <c r="O58" s="11"/>
      <c r="P58" s="11"/>
      <c r="Q58" s="11"/>
      <c r="R58" s="11"/>
      <c r="S58" s="105"/>
    </row>
    <row r="59" spans="1:19" x14ac:dyDescent="0.25">
      <c r="A59" s="103" t="s">
        <v>116</v>
      </c>
      <c r="B59" s="44" t="s">
        <v>40</v>
      </c>
      <c r="C59" s="30" t="s">
        <v>23</v>
      </c>
      <c r="D59" s="61">
        <f t="shared" ref="D59:D61" si="28">SUM(E59:M59)</f>
        <v>224.10000000000002</v>
      </c>
      <c r="E59" s="108">
        <v>25.5</v>
      </c>
      <c r="F59" s="108">
        <v>25.5</v>
      </c>
      <c r="G59" s="108">
        <v>25.5</v>
      </c>
      <c r="H59" s="108">
        <v>25.5</v>
      </c>
      <c r="I59" s="108">
        <f>(10+1.4)*2</f>
        <v>22.8</v>
      </c>
      <c r="J59" s="108">
        <v>25.5</v>
      </c>
      <c r="K59" s="108">
        <f>(10+1.4)*2</f>
        <v>22.8</v>
      </c>
      <c r="L59" s="108">
        <v>25.5</v>
      </c>
      <c r="M59" s="108">
        <v>25.5</v>
      </c>
      <c r="N59" s="11"/>
      <c r="O59" s="11"/>
      <c r="P59" s="11"/>
      <c r="Q59" s="11"/>
      <c r="R59" s="11"/>
      <c r="S59" s="105"/>
    </row>
    <row r="60" spans="1:19" x14ac:dyDescent="0.25">
      <c r="A60" s="103" t="s">
        <v>144</v>
      </c>
      <c r="B60" s="44" t="s">
        <v>41</v>
      </c>
      <c r="C60" s="30" t="s">
        <v>23</v>
      </c>
      <c r="D60" s="61">
        <f t="shared" si="28"/>
        <v>224.10000000000002</v>
      </c>
      <c r="E60" s="108">
        <f>E59</f>
        <v>25.5</v>
      </c>
      <c r="F60" s="108">
        <f t="shared" ref="F60:M60" si="29">F59</f>
        <v>25.5</v>
      </c>
      <c r="G60" s="108">
        <f t="shared" si="29"/>
        <v>25.5</v>
      </c>
      <c r="H60" s="108">
        <f t="shared" si="29"/>
        <v>25.5</v>
      </c>
      <c r="I60" s="108">
        <f t="shared" si="29"/>
        <v>22.8</v>
      </c>
      <c r="J60" s="108">
        <f t="shared" si="29"/>
        <v>25.5</v>
      </c>
      <c r="K60" s="108">
        <f t="shared" si="29"/>
        <v>22.8</v>
      </c>
      <c r="L60" s="108">
        <f t="shared" si="29"/>
        <v>25.5</v>
      </c>
      <c r="M60" s="108">
        <f t="shared" si="29"/>
        <v>25.5</v>
      </c>
      <c r="N60" s="11"/>
      <c r="O60" s="11"/>
      <c r="P60" s="11"/>
      <c r="Q60" s="11"/>
      <c r="R60" s="11"/>
      <c r="S60" s="105"/>
    </row>
    <row r="61" spans="1:19" ht="25.5" x14ac:dyDescent="0.25">
      <c r="A61" s="103" t="s">
        <v>145</v>
      </c>
      <c r="B61" s="44" t="s">
        <v>26</v>
      </c>
      <c r="C61" s="30" t="s">
        <v>23</v>
      </c>
      <c r="D61" s="61">
        <f t="shared" si="28"/>
        <v>224.10000000000002</v>
      </c>
      <c r="E61" s="108">
        <f>E59</f>
        <v>25.5</v>
      </c>
      <c r="F61" s="108">
        <f t="shared" ref="F61:M61" si="30">F59</f>
        <v>25.5</v>
      </c>
      <c r="G61" s="108">
        <f t="shared" si="30"/>
        <v>25.5</v>
      </c>
      <c r="H61" s="108">
        <f t="shared" si="30"/>
        <v>25.5</v>
      </c>
      <c r="I61" s="108">
        <f t="shared" si="30"/>
        <v>22.8</v>
      </c>
      <c r="J61" s="108">
        <f t="shared" si="30"/>
        <v>25.5</v>
      </c>
      <c r="K61" s="108">
        <f t="shared" si="30"/>
        <v>22.8</v>
      </c>
      <c r="L61" s="108">
        <f t="shared" si="30"/>
        <v>25.5</v>
      </c>
      <c r="M61" s="108">
        <f t="shared" si="30"/>
        <v>25.5</v>
      </c>
      <c r="N61" s="11"/>
      <c r="O61" s="11"/>
      <c r="P61" s="11"/>
      <c r="Q61" s="11"/>
      <c r="R61" s="11"/>
      <c r="S61" s="48" t="s">
        <v>56</v>
      </c>
    </row>
    <row r="62" spans="1:19" s="20" customFormat="1" x14ac:dyDescent="0.2">
      <c r="A62" s="29">
        <v>6</v>
      </c>
      <c r="B62" s="36" t="s">
        <v>42</v>
      </c>
      <c r="C62" s="29"/>
      <c r="D62" s="98"/>
      <c r="E62" s="99"/>
      <c r="F62" s="99"/>
      <c r="G62" s="99"/>
      <c r="H62" s="99"/>
      <c r="I62" s="99"/>
      <c r="J62" s="99"/>
      <c r="K62" s="99"/>
      <c r="L62" s="99"/>
      <c r="M62" s="99"/>
      <c r="N62" s="5"/>
      <c r="O62" s="5"/>
      <c r="P62" s="5"/>
      <c r="Q62" s="5"/>
      <c r="R62" s="5"/>
      <c r="S62" s="5"/>
    </row>
    <row r="63" spans="1:19" s="20" customFormat="1" ht="38.25" x14ac:dyDescent="0.25">
      <c r="A63" s="104" t="s">
        <v>103</v>
      </c>
      <c r="B63" s="45" t="s">
        <v>43</v>
      </c>
      <c r="C63" s="30" t="s">
        <v>9</v>
      </c>
      <c r="D63" s="61">
        <f t="shared" ref="D63:D70" si="31">SUM(E63:M63)</f>
        <v>68.430000000000007</v>
      </c>
      <c r="E63" s="55"/>
      <c r="F63" s="108">
        <v>37.35</v>
      </c>
      <c r="G63" s="55"/>
      <c r="H63" s="55"/>
      <c r="I63" s="55"/>
      <c r="J63" s="55"/>
      <c r="K63" s="108">
        <v>31.08</v>
      </c>
      <c r="L63" s="55"/>
      <c r="M63" s="55"/>
      <c r="N63" s="11"/>
      <c r="O63" s="11"/>
      <c r="P63" s="11"/>
      <c r="Q63" s="11"/>
      <c r="R63" s="11"/>
      <c r="S63" s="46" t="s">
        <v>61</v>
      </c>
    </row>
    <row r="64" spans="1:19" s="20" customFormat="1" ht="39.75" customHeight="1" x14ac:dyDescent="0.2">
      <c r="A64" s="104" t="s">
        <v>117</v>
      </c>
      <c r="B64" s="45" t="s">
        <v>44</v>
      </c>
      <c r="C64" s="30" t="s">
        <v>9</v>
      </c>
      <c r="D64" s="61">
        <f t="shared" si="31"/>
        <v>3.5699999999999994</v>
      </c>
      <c r="E64" s="108">
        <f>2.55*0.2</f>
        <v>0.51</v>
      </c>
      <c r="F64" s="108">
        <f>2.55*0.2</f>
        <v>0.51</v>
      </c>
      <c r="G64" s="108">
        <f>2.55*0.2</f>
        <v>0.51</v>
      </c>
      <c r="H64" s="108">
        <f>2.55*0.2</f>
        <v>0.51</v>
      </c>
      <c r="I64" s="108">
        <v>0</v>
      </c>
      <c r="J64" s="108">
        <f>2.55*0.2</f>
        <v>0.51</v>
      </c>
      <c r="K64" s="108">
        <v>0</v>
      </c>
      <c r="L64" s="108">
        <f>2.55*0.2</f>
        <v>0.51</v>
      </c>
      <c r="M64" s="108">
        <f>2.55*0.2</f>
        <v>0.51</v>
      </c>
      <c r="N64" s="38"/>
      <c r="O64" s="38"/>
      <c r="P64" s="38"/>
      <c r="Q64" s="38"/>
      <c r="R64" s="38"/>
      <c r="S64" s="46" t="s">
        <v>61</v>
      </c>
    </row>
    <row r="65" spans="1:19" s="20" customFormat="1" ht="39.75" customHeight="1" x14ac:dyDescent="0.2">
      <c r="A65" s="104" t="s">
        <v>118</v>
      </c>
      <c r="B65" s="45" t="s">
        <v>151</v>
      </c>
      <c r="C65" s="30" t="s">
        <v>9</v>
      </c>
      <c r="D65" s="61">
        <f t="shared" ref="D65" si="32">SUM(E65:M65)</f>
        <v>12.8094</v>
      </c>
      <c r="E65" s="108">
        <f>0.68*2+1.89*0.41</f>
        <v>2.1349</v>
      </c>
      <c r="F65" s="108">
        <v>0</v>
      </c>
      <c r="G65" s="108">
        <f>0.68*2+1.89*0.41</f>
        <v>2.1349</v>
      </c>
      <c r="H65" s="108">
        <f>0.68*2+1.89*0.41</f>
        <v>2.1349</v>
      </c>
      <c r="I65" s="108">
        <v>0</v>
      </c>
      <c r="J65" s="108">
        <f>0.68*2+1.89*0.41</f>
        <v>2.1349</v>
      </c>
      <c r="K65" s="108">
        <v>0</v>
      </c>
      <c r="L65" s="108">
        <f>0.68*2+1.89*0.41</f>
        <v>2.1349</v>
      </c>
      <c r="M65" s="108">
        <f>0.68*2+1.89*0.41</f>
        <v>2.1349</v>
      </c>
      <c r="N65" s="38"/>
      <c r="O65" s="38"/>
      <c r="P65" s="38"/>
      <c r="Q65" s="38"/>
      <c r="R65" s="38"/>
      <c r="S65" s="46" t="s">
        <v>61</v>
      </c>
    </row>
    <row r="66" spans="1:19" s="20" customFormat="1" ht="25.5" x14ac:dyDescent="0.2">
      <c r="A66" s="104" t="s">
        <v>119</v>
      </c>
      <c r="B66" s="44" t="s">
        <v>45</v>
      </c>
      <c r="C66" s="37" t="s">
        <v>46</v>
      </c>
      <c r="D66" s="110">
        <f t="shared" si="31"/>
        <v>44</v>
      </c>
      <c r="E66" s="112">
        <v>4</v>
      </c>
      <c r="F66" s="112">
        <f>2*4</f>
        <v>8</v>
      </c>
      <c r="G66" s="112">
        <v>4</v>
      </c>
      <c r="H66" s="112">
        <f>2*4</f>
        <v>8</v>
      </c>
      <c r="I66" s="112">
        <v>4</v>
      </c>
      <c r="J66" s="112">
        <v>4</v>
      </c>
      <c r="K66" s="112">
        <f>2*4</f>
        <v>8</v>
      </c>
      <c r="L66" s="111"/>
      <c r="M66" s="112">
        <v>4</v>
      </c>
      <c r="N66" s="38"/>
      <c r="O66" s="38"/>
      <c r="P66" s="38"/>
      <c r="Q66" s="38"/>
      <c r="R66" s="38"/>
      <c r="S66" s="17" t="s">
        <v>59</v>
      </c>
    </row>
    <row r="67" spans="1:19" s="20" customFormat="1" ht="25.5" x14ac:dyDescent="0.2">
      <c r="A67" s="104" t="s">
        <v>120</v>
      </c>
      <c r="B67" s="44" t="s">
        <v>150</v>
      </c>
      <c r="C67" s="37" t="s">
        <v>46</v>
      </c>
      <c r="D67" s="110">
        <f t="shared" ref="D67" si="33">SUM(E67:M67)</f>
        <v>6</v>
      </c>
      <c r="E67" s="111"/>
      <c r="F67" s="111"/>
      <c r="G67" s="111"/>
      <c r="H67" s="112">
        <v>2</v>
      </c>
      <c r="I67" s="111"/>
      <c r="J67" s="112">
        <v>2</v>
      </c>
      <c r="K67" s="112">
        <v>2</v>
      </c>
      <c r="L67" s="111"/>
      <c r="M67" s="111"/>
      <c r="N67" s="38"/>
      <c r="O67" s="38"/>
      <c r="P67" s="38"/>
      <c r="Q67" s="38"/>
      <c r="R67" s="38"/>
      <c r="S67" s="17"/>
    </row>
    <row r="68" spans="1:19" s="20" customFormat="1" ht="25.5" x14ac:dyDescent="0.2">
      <c r="A68" s="104" t="s">
        <v>121</v>
      </c>
      <c r="B68" s="44" t="s">
        <v>47</v>
      </c>
      <c r="C68" s="37" t="s">
        <v>46</v>
      </c>
      <c r="D68" s="110">
        <f t="shared" si="31"/>
        <v>14</v>
      </c>
      <c r="E68" s="112">
        <v>2</v>
      </c>
      <c r="F68" s="111"/>
      <c r="G68" s="133"/>
      <c r="H68" s="111"/>
      <c r="I68" s="112">
        <v>2</v>
      </c>
      <c r="J68" s="112">
        <v>4</v>
      </c>
      <c r="K68" s="112">
        <v>2</v>
      </c>
      <c r="L68" s="112">
        <v>2</v>
      </c>
      <c r="M68" s="112">
        <v>2</v>
      </c>
      <c r="N68" s="38"/>
      <c r="O68" s="38"/>
      <c r="P68" s="38"/>
      <c r="Q68" s="38"/>
      <c r="R68" s="38"/>
      <c r="S68" s="17" t="s">
        <v>59</v>
      </c>
    </row>
    <row r="69" spans="1:19" s="20" customFormat="1" ht="25.5" x14ac:dyDescent="0.2">
      <c r="A69" s="104" t="s">
        <v>148</v>
      </c>
      <c r="B69" s="44" t="s">
        <v>101</v>
      </c>
      <c r="C69" s="37" t="s">
        <v>46</v>
      </c>
      <c r="D69" s="110">
        <f t="shared" si="31"/>
        <v>6</v>
      </c>
      <c r="E69" s="111"/>
      <c r="F69" s="112">
        <v>4</v>
      </c>
      <c r="G69" s="133"/>
      <c r="H69" s="112">
        <v>2</v>
      </c>
      <c r="I69" s="111"/>
      <c r="J69" s="111"/>
      <c r="K69" s="111"/>
      <c r="L69" s="111"/>
      <c r="M69" s="111"/>
      <c r="N69" s="38"/>
      <c r="O69" s="38"/>
      <c r="P69" s="38"/>
      <c r="Q69" s="38"/>
      <c r="R69" s="38"/>
      <c r="S69" s="17" t="s">
        <v>59</v>
      </c>
    </row>
    <row r="70" spans="1:19" s="20" customFormat="1" x14ac:dyDescent="0.25">
      <c r="A70" s="104" t="s">
        <v>149</v>
      </c>
      <c r="B70" s="45" t="s">
        <v>48</v>
      </c>
      <c r="C70" s="30" t="s">
        <v>46</v>
      </c>
      <c r="D70" s="110">
        <f t="shared" si="31"/>
        <v>9</v>
      </c>
      <c r="E70" s="112">
        <v>1</v>
      </c>
      <c r="F70" s="112">
        <v>1</v>
      </c>
      <c r="G70" s="112">
        <v>1</v>
      </c>
      <c r="H70" s="112">
        <v>1</v>
      </c>
      <c r="I70" s="112">
        <v>1</v>
      </c>
      <c r="J70" s="112">
        <v>1</v>
      </c>
      <c r="K70" s="112">
        <v>1</v>
      </c>
      <c r="L70" s="112">
        <v>1</v>
      </c>
      <c r="M70" s="112">
        <v>1</v>
      </c>
      <c r="N70" s="11"/>
      <c r="O70" s="11"/>
      <c r="P70" s="11"/>
      <c r="Q70" s="11"/>
      <c r="R70" s="11"/>
      <c r="S70" s="17" t="s">
        <v>60</v>
      </c>
    </row>
    <row r="71" spans="1:19" x14ac:dyDescent="0.25">
      <c r="N71" s="39"/>
    </row>
    <row r="72" spans="1:19" s="20" customFormat="1" ht="13.5" customHeight="1" x14ac:dyDescent="0.2">
      <c r="A72" s="119" t="s">
        <v>49</v>
      </c>
      <c r="B72" s="119"/>
      <c r="C72" s="40"/>
      <c r="D72" s="68"/>
      <c r="E72" s="57"/>
      <c r="F72" s="57"/>
      <c r="G72" s="57"/>
      <c r="H72" s="57"/>
      <c r="I72" s="57"/>
      <c r="J72" s="57"/>
      <c r="K72" s="57"/>
      <c r="L72" s="57"/>
      <c r="M72" s="57"/>
    </row>
    <row r="73" spans="1:19" s="20" customFormat="1" ht="1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9" s="41" customFormat="1" ht="21" customHeight="1" x14ac:dyDescent="0.25">
      <c r="A74" s="118" t="s">
        <v>50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9" s="41" customFormat="1" ht="21" customHeight="1" x14ac:dyDescent="0.25">
      <c r="A75" s="118" t="s">
        <v>63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9" s="41" customFormat="1" ht="21" customHeight="1" x14ac:dyDescent="0.25">
      <c r="A76" s="118" t="s">
        <v>122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9" s="41" customFormat="1" ht="21" customHeight="1" x14ac:dyDescent="0.25">
      <c r="A77" s="41" t="s">
        <v>123</v>
      </c>
      <c r="B77" s="42"/>
      <c r="D77" s="69"/>
      <c r="E77" s="53"/>
      <c r="F77" s="53"/>
      <c r="G77" s="53"/>
      <c r="H77" s="53"/>
      <c r="I77" s="53"/>
      <c r="J77" s="53"/>
      <c r="K77" s="53"/>
      <c r="L77" s="53"/>
      <c r="M77" s="58"/>
    </row>
    <row r="78" spans="1:19" s="41" customFormat="1" ht="21" customHeight="1" x14ac:dyDescent="0.25">
      <c r="A78" s="41" t="s">
        <v>124</v>
      </c>
      <c r="B78" s="42"/>
      <c r="D78" s="69"/>
      <c r="E78" s="53"/>
      <c r="F78" s="53"/>
      <c r="G78" s="53"/>
      <c r="H78" s="53"/>
      <c r="I78" s="53"/>
      <c r="J78" s="53"/>
      <c r="K78" s="53"/>
      <c r="L78" s="53"/>
      <c r="M78" s="58"/>
    </row>
    <row r="79" spans="1:19" s="41" customFormat="1" ht="21" customHeight="1" x14ac:dyDescent="0.25">
      <c r="A79" s="41" t="s">
        <v>125</v>
      </c>
      <c r="B79" s="42"/>
      <c r="D79" s="69"/>
      <c r="E79" s="53"/>
      <c r="F79" s="53"/>
      <c r="G79" s="53"/>
      <c r="H79" s="53"/>
      <c r="I79" s="53"/>
      <c r="J79" s="53"/>
      <c r="K79" s="53"/>
      <c r="L79" s="53"/>
      <c r="M79" s="58"/>
    </row>
  </sheetData>
  <mergeCells count="17">
    <mergeCell ref="O5:O6"/>
    <mergeCell ref="A2:S2"/>
    <mergeCell ref="P5:P6"/>
    <mergeCell ref="Q5:Q6"/>
    <mergeCell ref="R5:R6"/>
    <mergeCell ref="S5:S6"/>
    <mergeCell ref="A3:S3"/>
    <mergeCell ref="A5:A6"/>
    <mergeCell ref="B5:B6"/>
    <mergeCell ref="C5:C6"/>
    <mergeCell ref="D5:M5"/>
    <mergeCell ref="N5:N6"/>
    <mergeCell ref="A76:M76"/>
    <mergeCell ref="A72:B72"/>
    <mergeCell ref="A73:M73"/>
    <mergeCell ref="A74:M74"/>
    <mergeCell ref="A75:M75"/>
  </mergeCells>
  <phoneticPr fontId="19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MitrofanovaEE</cp:lastModifiedBy>
  <dcterms:created xsi:type="dcterms:W3CDTF">2023-04-13T06:50:35Z</dcterms:created>
  <dcterms:modified xsi:type="dcterms:W3CDTF">2024-04-18T15:29:17Z</dcterms:modified>
</cp:coreProperties>
</file>